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0" yWindow="6105" windowWidth="21840" windowHeight="6105" tabRatio="804"/>
  </bookViews>
  <sheets>
    <sheet name="General Info" sheetId="1" r:id="rId1"/>
    <sheet name="DefCapB3" sheetId="28" r:id="rId2"/>
    <sheet name="DefCapB3-MI" sheetId="31" r:id="rId3"/>
    <sheet name="Leverage Ratio" sheetId="32" r:id="rId4"/>
    <sheet name="LCR" sheetId="8" r:id="rId5"/>
    <sheet name="NSFR" sheetId="30" r:id="rId6"/>
    <sheet name="Partial use" sheetId="33" r:id="rId7"/>
    <sheet name="Checks" sheetId="22" r:id="rId8"/>
    <sheet name="Parameters" sheetId="20" r:id="rId9"/>
  </sheets>
  <definedNames>
    <definedName name="Accounting">Parameters!$C$140:$C$143</definedName>
    <definedName name="BankType">Parameters!$C$144:$C$146</definedName>
    <definedName name="BankTypeNumeric">Parameters!$B$147:$B$153</definedName>
    <definedName name="Basel12" localSheetId="7">Checks!$C$112:$C$112</definedName>
    <definedName name="Basel12">Parameters!$C$138:$C$139</definedName>
    <definedName name="CCROTC">Parameters!$C$126:$C$128</definedName>
    <definedName name="CCRSFT">Parameters!$C$129:$C$132</definedName>
    <definedName name="Group">Parameters!$C$124:$C$125</definedName>
    <definedName name="OpRisk" localSheetId="7">Checks!$C$21:$C$97</definedName>
    <definedName name="OpRisk">Parameters!$C$133:$C$137</definedName>
    <definedName name="_xlnm.Print_Area" localSheetId="7">Checks!$A$1:$N$131</definedName>
    <definedName name="_xlnm.Print_Area" localSheetId="1">DefCapB3!$A$1:$E$252</definedName>
    <definedName name="_xlnm.Print_Area" localSheetId="2">'DefCapB3-MI'!$A$1:$AI$32</definedName>
    <definedName name="_xlnm.Print_Area" localSheetId="0">'General Info'!$A$1:$K$252</definedName>
    <definedName name="_xlnm.Print_Area" localSheetId="4">LCR!$A$1:$K$443</definedName>
    <definedName name="_xlnm.Print_Area" localSheetId="3">'Leverage Ratio'!$A$1:$O$168</definedName>
    <definedName name="_xlnm.Print_Area" localSheetId="5">NSFR!$A$1:$O$259</definedName>
    <definedName name="_xlnm.Print_Area" localSheetId="8">Parameters!$A$1:$H$154</definedName>
    <definedName name="_xlnm.Print_Area" localSheetId="6">'Partial use'!$A$1:$AA$76</definedName>
    <definedName name="_xlnm.Print_Titles" localSheetId="7">Checks!$1:$1</definedName>
    <definedName name="_xlnm.Print_Titles" localSheetId="0">'General Info'!$A:$B</definedName>
    <definedName name="_xlnm.Print_Titles" localSheetId="8">Parameters!$1:$1</definedName>
    <definedName name="_xlnm.Print_Titles" localSheetId="6">'Partial use'!$A:$C,'Partial use'!$1:$5</definedName>
    <definedName name="YesNo">Parameters!$C$121:$C$122</definedName>
    <definedName name="YesNoNA">Parameters!$C$121:$C$123</definedName>
    <definedName name="Z_15489521_78C1_4B59_8BC9_AACD7EBC6362_.wvu.PrintArea" localSheetId="7" hidden="1">Checks!$A$1:$N$131</definedName>
    <definedName name="Z_15489521_78C1_4B59_8BC9_AACD7EBC6362_.wvu.PrintArea" localSheetId="1" hidden="1">DefCapB3!#REF!</definedName>
    <definedName name="Z_15489521_78C1_4B59_8BC9_AACD7EBC6362_.wvu.PrintArea" localSheetId="2" hidden="1">'DefCapB3-MI'!#REF!</definedName>
    <definedName name="Z_15489521_78C1_4B59_8BC9_AACD7EBC6362_.wvu.PrintArea" localSheetId="0" hidden="1">'General Info'!$A$1:$C$252,'General Info'!#REF!</definedName>
    <definedName name="Z_15489521_78C1_4B59_8BC9_AACD7EBC6362_.wvu.PrintArea" localSheetId="4" hidden="1">LCR!#REF!</definedName>
    <definedName name="Z_15489521_78C1_4B59_8BC9_AACD7EBC6362_.wvu.PrintArea" localSheetId="3" hidden="1">'Leverage Ratio'!#REF!</definedName>
    <definedName name="Z_15489521_78C1_4B59_8BC9_AACD7EBC6362_.wvu.PrintArea" localSheetId="5" hidden="1">NSFR!#REF!</definedName>
    <definedName name="Z_15489521_78C1_4B59_8BC9_AACD7EBC6362_.wvu.PrintArea" localSheetId="8" hidden="1">Parameters!$A$1:$H$140</definedName>
    <definedName name="Z_15489521_78C1_4B59_8BC9_AACD7EBC6362_.wvu.PrintArea" localSheetId="6" hidden="1">'Partial use'!$A$1:$C$8,'Partial use'!#REF!</definedName>
    <definedName name="Z_15489521_78C1_4B59_8BC9_AACD7EBC6362_.wvu.PrintTitles" localSheetId="7" hidden="1">Checks!$1:$1</definedName>
    <definedName name="Z_15489521_78C1_4B59_8BC9_AACD7EBC6362_.wvu.PrintTitles" localSheetId="1" hidden="1">DefCapB3!#REF!</definedName>
    <definedName name="Z_15489521_78C1_4B59_8BC9_AACD7EBC6362_.wvu.PrintTitles" localSheetId="2" hidden="1">'DefCapB3-MI'!#REF!</definedName>
    <definedName name="Z_15489521_78C1_4B59_8BC9_AACD7EBC6362_.wvu.PrintTitles" localSheetId="0" hidden="1">'General Info'!$A:$B</definedName>
    <definedName name="Z_15489521_78C1_4B59_8BC9_AACD7EBC6362_.wvu.PrintTitles" localSheetId="3" hidden="1">'Leverage Ratio'!#REF!</definedName>
    <definedName name="Z_15489521_78C1_4B59_8BC9_AACD7EBC6362_.wvu.PrintTitles" localSheetId="8" hidden="1">Parameters!$1:$1</definedName>
    <definedName name="Z_15489521_78C1_4B59_8BC9_AACD7EBC6362_.wvu.PrintTitles" localSheetId="6" hidden="1">'Partial use'!$A:$B</definedName>
    <definedName name="Z_53E8D147_A870_4F3F_BF63_24587CEF7636_.wvu.PrintArea" localSheetId="7" hidden="1">Checks!$A$1:$N$131</definedName>
    <definedName name="Z_53E8D147_A870_4F3F_BF63_24587CEF7636_.wvu.PrintArea" localSheetId="1" hidden="1">DefCapB3!#REF!</definedName>
    <definedName name="Z_53E8D147_A870_4F3F_BF63_24587CEF7636_.wvu.PrintArea" localSheetId="2" hidden="1">'DefCapB3-MI'!#REF!</definedName>
    <definedName name="Z_53E8D147_A870_4F3F_BF63_24587CEF7636_.wvu.PrintArea" localSheetId="0" hidden="1">'General Info'!$A$1:$C$252,'General Info'!#REF!</definedName>
    <definedName name="Z_53E8D147_A870_4F3F_BF63_24587CEF7636_.wvu.PrintArea" localSheetId="4" hidden="1">LCR!#REF!</definedName>
    <definedName name="Z_53E8D147_A870_4F3F_BF63_24587CEF7636_.wvu.PrintArea" localSheetId="3" hidden="1">'Leverage Ratio'!#REF!</definedName>
    <definedName name="Z_53E8D147_A870_4F3F_BF63_24587CEF7636_.wvu.PrintArea" localSheetId="5" hidden="1">NSFR!#REF!</definedName>
    <definedName name="Z_53E8D147_A870_4F3F_BF63_24587CEF7636_.wvu.PrintArea" localSheetId="8" hidden="1">Parameters!$A$1:$H$140</definedName>
    <definedName name="Z_53E8D147_A870_4F3F_BF63_24587CEF7636_.wvu.PrintArea" localSheetId="6" hidden="1">'Partial use'!$A$1:$C$8,'Partial use'!#REF!</definedName>
    <definedName name="Z_53E8D147_A870_4F3F_BF63_24587CEF7636_.wvu.PrintTitles" localSheetId="7" hidden="1">Checks!$1:$1</definedName>
    <definedName name="Z_53E8D147_A870_4F3F_BF63_24587CEF7636_.wvu.PrintTitles" localSheetId="1" hidden="1">DefCapB3!#REF!</definedName>
    <definedName name="Z_53E8D147_A870_4F3F_BF63_24587CEF7636_.wvu.PrintTitles" localSheetId="2" hidden="1">'DefCapB3-MI'!#REF!</definedName>
    <definedName name="Z_53E8D147_A870_4F3F_BF63_24587CEF7636_.wvu.PrintTitles" localSheetId="0" hidden="1">'General Info'!$A:$B</definedName>
    <definedName name="Z_53E8D147_A870_4F3F_BF63_24587CEF7636_.wvu.PrintTitles" localSheetId="4" hidden="1">LCR!#REF!</definedName>
    <definedName name="Z_53E8D147_A870_4F3F_BF63_24587CEF7636_.wvu.PrintTitles" localSheetId="3" hidden="1">'Leverage Ratio'!#REF!</definedName>
    <definedName name="Z_53E8D147_A870_4F3F_BF63_24587CEF7636_.wvu.PrintTitles" localSheetId="5" hidden="1">NSFR!#REF!</definedName>
    <definedName name="Z_53E8D147_A870_4F3F_BF63_24587CEF7636_.wvu.PrintTitles" localSheetId="8" hidden="1">Parameters!$1:$1</definedName>
    <definedName name="Z_53E8D147_A870_4F3F_BF63_24587CEF7636_.wvu.PrintTitles" localSheetId="6" hidden="1">'Partial use'!$A:$B</definedName>
    <definedName name="Z_7608A575_AD39_4DFE_B654_965E0A886A86_.wvu.PrintArea" localSheetId="7" hidden="1">Checks!$A$1:$N$131</definedName>
    <definedName name="Z_7608A575_AD39_4DFE_B654_965E0A886A86_.wvu.PrintArea" localSheetId="1" hidden="1">DefCapB3!#REF!</definedName>
    <definedName name="Z_7608A575_AD39_4DFE_B654_965E0A886A86_.wvu.PrintArea" localSheetId="2" hidden="1">'DefCapB3-MI'!#REF!</definedName>
    <definedName name="Z_7608A575_AD39_4DFE_B654_965E0A886A86_.wvu.PrintArea" localSheetId="0" hidden="1">'General Info'!$A$1:$C$252,'General Info'!#REF!</definedName>
    <definedName name="Z_7608A575_AD39_4DFE_B654_965E0A886A86_.wvu.PrintArea" localSheetId="4" hidden="1">LCR!#REF!</definedName>
    <definedName name="Z_7608A575_AD39_4DFE_B654_965E0A886A86_.wvu.PrintArea" localSheetId="3" hidden="1">'Leverage Ratio'!#REF!</definedName>
    <definedName name="Z_7608A575_AD39_4DFE_B654_965E0A886A86_.wvu.PrintArea" localSheetId="5" hidden="1">NSFR!#REF!</definedName>
    <definedName name="Z_7608A575_AD39_4DFE_B654_965E0A886A86_.wvu.PrintArea" localSheetId="8" hidden="1">Parameters!$A$1:$H$140</definedName>
    <definedName name="Z_7608A575_AD39_4DFE_B654_965E0A886A86_.wvu.PrintArea" localSheetId="6" hidden="1">'Partial use'!$A$1:$C$8,'Partial use'!#REF!</definedName>
    <definedName name="Z_7608A575_AD39_4DFE_B654_965E0A886A86_.wvu.PrintTitles" localSheetId="7" hidden="1">Checks!$1:$1</definedName>
    <definedName name="Z_7608A575_AD39_4DFE_B654_965E0A886A86_.wvu.PrintTitles" localSheetId="1" hidden="1">DefCapB3!#REF!</definedName>
    <definedName name="Z_7608A575_AD39_4DFE_B654_965E0A886A86_.wvu.PrintTitles" localSheetId="2" hidden="1">'DefCapB3-MI'!#REF!</definedName>
    <definedName name="Z_7608A575_AD39_4DFE_B654_965E0A886A86_.wvu.PrintTitles" localSheetId="0" hidden="1">'General Info'!$A:$B</definedName>
    <definedName name="Z_7608A575_AD39_4DFE_B654_965E0A886A86_.wvu.PrintTitles" localSheetId="3" hidden="1">'Leverage Ratio'!#REF!</definedName>
    <definedName name="Z_7608A575_AD39_4DFE_B654_965E0A886A86_.wvu.PrintTitles" localSheetId="8" hidden="1">Parameters!$1:$1</definedName>
    <definedName name="Z_7608A575_AD39_4DFE_B654_965E0A886A86_.wvu.PrintTitles" localSheetId="6" hidden="1">'Partial use'!$A:$B</definedName>
  </definedNames>
  <calcPr calcId="145621"/>
  <customWorkbookViews>
    <customWorkbookView name="Martin Birn - Personal View" guid="{15489521-78C1-4B59-8BC9-AACD7EBC6362}" mergeInterval="0" personalView="1" maximized="1" windowWidth="1676" windowHeight="821" tabRatio="803" activeSheetId="7"/>
    <customWorkbookView name="Mary Craig - Personal View" guid="{53E8D147-A870-4F3F-BF63-24587CEF7636}" mergeInterval="0" personalView="1" maximized="1" windowWidth="1276" windowHeight="852" tabRatio="803" activeSheetId="7" showComments="commIndAndComment"/>
    <customWorkbookView name="Noel Reynolds - Personal View" guid="{7608A575-AD39-4DFE-B654-965E0A886A86}" mergeInterval="0" personalView="1" maximized="1" windowWidth="1676" windowHeight="843" tabRatio="803" activeSheetId="2"/>
  </customWorkbookViews>
</workbook>
</file>

<file path=xl/calcChain.xml><?xml version="1.0" encoding="utf-8"?>
<calcChain xmlns="http://schemas.openxmlformats.org/spreadsheetml/2006/main">
  <c r="L124" i="32" l="1"/>
  <c r="K124" i="32"/>
  <c r="J124" i="32" s="1"/>
  <c r="F124" i="32"/>
  <c r="E124" i="32"/>
  <c r="D124" i="32" s="1"/>
  <c r="J165" i="32" l="1"/>
  <c r="J125" i="32" l="1"/>
  <c r="I194" i="30" l="1"/>
  <c r="I193" i="30"/>
  <c r="O7" i="33" l="1"/>
  <c r="J69" i="33"/>
  <c r="J68" i="33"/>
  <c r="J65" i="33"/>
  <c r="J64" i="33"/>
  <c r="O62" i="33"/>
  <c r="O61" i="33"/>
  <c r="O60" i="33"/>
  <c r="O59" i="33"/>
  <c r="O58" i="33"/>
  <c r="O57" i="33"/>
  <c r="O56" i="33"/>
  <c r="O55" i="33"/>
  <c r="O54" i="33"/>
  <c r="O53" i="33"/>
  <c r="O52" i="33"/>
  <c r="O51" i="33"/>
  <c r="O50" i="33"/>
  <c r="O49" i="33"/>
  <c r="O48" i="33"/>
  <c r="O47" i="33"/>
  <c r="O46" i="33"/>
  <c r="O45" i="33"/>
  <c r="O44" i="33"/>
  <c r="O43" i="33"/>
  <c r="O42" i="33"/>
  <c r="O41" i="33"/>
  <c r="O40" i="33"/>
  <c r="O39" i="33"/>
  <c r="O38" i="33"/>
  <c r="O37" i="33"/>
  <c r="O36" i="33"/>
  <c r="O35" i="33"/>
  <c r="O34" i="33"/>
  <c r="O33" i="33"/>
  <c r="O32" i="33"/>
  <c r="O31" i="33"/>
  <c r="O30" i="33"/>
  <c r="O29" i="33"/>
  <c r="O28" i="33"/>
  <c r="O27" i="33"/>
  <c r="O26" i="33"/>
  <c r="O25" i="33"/>
  <c r="O24" i="33"/>
  <c r="O23" i="33"/>
  <c r="O22" i="33"/>
  <c r="O21" i="33"/>
  <c r="O20" i="33"/>
  <c r="O19" i="33"/>
  <c r="O18" i="33"/>
  <c r="O17" i="33"/>
  <c r="O16" i="33"/>
  <c r="O15" i="33"/>
  <c r="O14" i="33"/>
  <c r="O13" i="33"/>
  <c r="O12" i="33"/>
  <c r="O11" i="33"/>
  <c r="O10" i="33"/>
  <c r="O9" i="33"/>
  <c r="O8" i="33"/>
  <c r="Y6" i="33"/>
  <c r="X6" i="33"/>
  <c r="W6" i="33"/>
  <c r="V6" i="33"/>
  <c r="U6" i="33"/>
  <c r="T6" i="33"/>
  <c r="S6" i="33"/>
  <c r="R6" i="33"/>
  <c r="Q6" i="33"/>
  <c r="P6" i="33"/>
  <c r="O6" i="33"/>
  <c r="J6" i="33"/>
  <c r="D6" i="33"/>
  <c r="C6" i="33"/>
  <c r="L4" i="33"/>
  <c r="J66" i="33" l="1"/>
  <c r="J70" i="33"/>
  <c r="M231" i="30" l="1"/>
  <c r="L231" i="30"/>
  <c r="N231" i="30" s="1"/>
  <c r="M227" i="30"/>
  <c r="L227" i="30"/>
  <c r="N227" i="30" s="1"/>
  <c r="P58" i="30"/>
  <c r="P192" i="30"/>
  <c r="N194" i="30"/>
  <c r="P194" i="30" s="1"/>
  <c r="N192" i="30"/>
  <c r="N193" i="30"/>
  <c r="M187" i="30"/>
  <c r="L187" i="30"/>
  <c r="N187" i="30" s="1"/>
  <c r="M40" i="30"/>
  <c r="N40" i="30" s="1"/>
  <c r="L40" i="30"/>
  <c r="M32" i="30"/>
  <c r="L32" i="30"/>
  <c r="N32" i="30" s="1"/>
  <c r="C113" i="1" l="1"/>
  <c r="F113" i="1"/>
  <c r="N95" i="32" l="1"/>
  <c r="C219" i="1" l="1"/>
  <c r="C228" i="1"/>
  <c r="D219" i="1"/>
  <c r="D238" i="1" l="1"/>
  <c r="B238" i="1" l="1"/>
  <c r="C18" i="22" s="1"/>
  <c r="J116" i="1"/>
  <c r="I116" i="1"/>
  <c r="H116" i="1"/>
  <c r="E18" i="22"/>
  <c r="D108" i="1"/>
  <c r="B256" i="30"/>
  <c r="M229" i="30"/>
  <c r="L229" i="30"/>
  <c r="M228" i="30"/>
  <c r="L228" i="30"/>
  <c r="N228" i="30" s="1"/>
  <c r="M226" i="30"/>
  <c r="L226" i="30"/>
  <c r="N226" i="30" s="1"/>
  <c r="M225" i="30"/>
  <c r="L225" i="30"/>
  <c r="C58" i="30"/>
  <c r="D113" i="22" s="1"/>
  <c r="B58" i="30"/>
  <c r="C113" i="22" s="1"/>
  <c r="M38" i="30"/>
  <c r="L38" i="30"/>
  <c r="M37" i="30"/>
  <c r="L37" i="30"/>
  <c r="N37" i="30" s="1"/>
  <c r="M36" i="30"/>
  <c r="L36" i="30"/>
  <c r="M35" i="30"/>
  <c r="L35" i="30"/>
  <c r="M34" i="30"/>
  <c r="L34" i="30"/>
  <c r="E436" i="8"/>
  <c r="D436" i="8"/>
  <c r="E435" i="8"/>
  <c r="D435" i="8"/>
  <c r="E434" i="8"/>
  <c r="D434" i="8"/>
  <c r="E433" i="8"/>
  <c r="D433" i="8"/>
  <c r="H108" i="8"/>
  <c r="C165" i="32"/>
  <c r="J128" i="32"/>
  <c r="D128" i="32"/>
  <c r="J127" i="32"/>
  <c r="D127" i="32"/>
  <c r="L106" i="32"/>
  <c r="K106" i="32"/>
  <c r="J106" i="32"/>
  <c r="F106" i="32"/>
  <c r="E106" i="32"/>
  <c r="D106" i="32"/>
  <c r="H95" i="32"/>
  <c r="N225" i="30" l="1"/>
  <c r="N34" i="30"/>
  <c r="N36" i="30"/>
  <c r="N38" i="30"/>
  <c r="N35" i="30"/>
  <c r="N229" i="30"/>
  <c r="J158" i="32"/>
  <c r="J156" i="32" s="1"/>
  <c r="J151" i="32"/>
  <c r="J143" i="32"/>
  <c r="J136" i="32"/>
  <c r="D92" i="32"/>
  <c r="J79" i="32"/>
  <c r="D79" i="32"/>
  <c r="K57" i="32"/>
  <c r="J57" i="32"/>
  <c r="E57" i="32"/>
  <c r="D57" i="32"/>
  <c r="M37" i="32"/>
  <c r="M36" i="32"/>
  <c r="G37" i="32"/>
  <c r="G36" i="32" s="1"/>
  <c r="J17" i="32"/>
  <c r="J13" i="32"/>
  <c r="D13" i="32"/>
  <c r="K9" i="32"/>
  <c r="J9" i="32"/>
  <c r="E9" i="32"/>
  <c r="D9" i="32"/>
  <c r="D17" i="32" s="1"/>
  <c r="J86" i="32"/>
  <c r="J92" i="32" s="1"/>
  <c r="I40" i="22" s="1"/>
  <c r="D86" i="32"/>
  <c r="H417" i="8"/>
  <c r="H423" i="8"/>
  <c r="D20" i="8"/>
  <c r="G67" i="8"/>
  <c r="H67" i="8" s="1"/>
  <c r="D43" i="8"/>
  <c r="N89" i="32"/>
  <c r="D48" i="1"/>
  <c r="B7" i="30"/>
  <c r="C98" i="22" s="1"/>
  <c r="C28" i="30"/>
  <c r="D109" i="22" s="1"/>
  <c r="C27" i="30"/>
  <c r="C23" i="30"/>
  <c r="D106" i="22" s="1"/>
  <c r="C22" i="30"/>
  <c r="D105" i="22" s="1"/>
  <c r="C18" i="30"/>
  <c r="D103" i="22" s="1"/>
  <c r="C17" i="30"/>
  <c r="D102" i="22" s="1"/>
  <c r="H151" i="8"/>
  <c r="H147" i="8"/>
  <c r="H143" i="8"/>
  <c r="H139" i="8"/>
  <c r="E4" i="22"/>
  <c r="C31" i="30"/>
  <c r="D111" i="22" s="1"/>
  <c r="B31" i="30"/>
  <c r="C111" i="22" s="1"/>
  <c r="D108" i="22"/>
  <c r="B28" i="30"/>
  <c r="C109" i="22" s="1"/>
  <c r="B27" i="30"/>
  <c r="C108" i="22" s="1"/>
  <c r="B23" i="30"/>
  <c r="C106" i="22" s="1"/>
  <c r="B22" i="30"/>
  <c r="C105" i="22" s="1"/>
  <c r="B18" i="30"/>
  <c r="C103" i="22" s="1"/>
  <c r="B17" i="30"/>
  <c r="C102" i="22" s="1"/>
  <c r="C14" i="30"/>
  <c r="D101" i="22" s="1"/>
  <c r="B14" i="30"/>
  <c r="C101" i="22" s="1"/>
  <c r="C12" i="30"/>
  <c r="D100" i="22" s="1"/>
  <c r="B12" i="30"/>
  <c r="C100" i="22" s="1"/>
  <c r="C10" i="30"/>
  <c r="D99" i="22" s="1"/>
  <c r="B10" i="30"/>
  <c r="C99" i="22" s="1"/>
  <c r="G108" i="1"/>
  <c r="F108" i="1"/>
  <c r="E108" i="1"/>
  <c r="G50" i="22"/>
  <c r="F50" i="22"/>
  <c r="B402" i="8"/>
  <c r="C93" i="22" s="1"/>
  <c r="B399" i="8"/>
  <c r="C92" i="22"/>
  <c r="B396" i="8"/>
  <c r="C91" i="22" s="1"/>
  <c r="B393" i="8"/>
  <c r="C90" i="22"/>
  <c r="B390" i="8"/>
  <c r="C89" i="22" s="1"/>
  <c r="B387" i="8"/>
  <c r="C88" i="22"/>
  <c r="B384" i="8"/>
  <c r="C87" i="22" s="1"/>
  <c r="B381" i="8"/>
  <c r="C86" i="22"/>
  <c r="B378" i="8"/>
  <c r="B375" i="8"/>
  <c r="C84" i="22"/>
  <c r="B372" i="8"/>
  <c r="C83" i="22" s="1"/>
  <c r="B369" i="8"/>
  <c r="C82" i="22"/>
  <c r="B366" i="8"/>
  <c r="C81" i="22" s="1"/>
  <c r="B363" i="8"/>
  <c r="C80" i="22"/>
  <c r="B360" i="8"/>
  <c r="C79" i="22" s="1"/>
  <c r="B357" i="8"/>
  <c r="C78" i="22"/>
  <c r="B354" i="8"/>
  <c r="C77" i="22" s="1"/>
  <c r="B351" i="8"/>
  <c r="C76" i="22"/>
  <c r="B348" i="8"/>
  <c r="C75" i="22" s="1"/>
  <c r="B345" i="8"/>
  <c r="C74" i="22"/>
  <c r="B342" i="8"/>
  <c r="C73" i="22" s="1"/>
  <c r="B339" i="8"/>
  <c r="C72" i="22"/>
  <c r="B336" i="8"/>
  <c r="C71" i="22" s="1"/>
  <c r="B333" i="8"/>
  <c r="C70" i="22" s="1"/>
  <c r="B286" i="8"/>
  <c r="B283" i="8"/>
  <c r="C68" i="22" s="1"/>
  <c r="B280" i="8"/>
  <c r="C67" i="22"/>
  <c r="B277" i="8"/>
  <c r="C66" i="22" s="1"/>
  <c r="B206" i="8"/>
  <c r="C65" i="22"/>
  <c r="B203" i="8"/>
  <c r="C64" i="22" s="1"/>
  <c r="B199" i="8"/>
  <c r="C63" i="22"/>
  <c r="B196" i="8"/>
  <c r="C62" i="22" s="1"/>
  <c r="B193" i="8"/>
  <c r="C61" i="22"/>
  <c r="B189" i="8"/>
  <c r="C60" i="22" s="1"/>
  <c r="B186" i="8"/>
  <c r="C59" i="22"/>
  <c r="B183" i="8"/>
  <c r="C58" i="22" s="1"/>
  <c r="B180" i="8"/>
  <c r="C57" i="22"/>
  <c r="G317" i="8"/>
  <c r="H317" i="8" s="1"/>
  <c r="G263" i="8"/>
  <c r="H263" i="8" s="1"/>
  <c r="G262" i="8"/>
  <c r="G261" i="8"/>
  <c r="H261" i="8" s="1"/>
  <c r="G260" i="8"/>
  <c r="H260" i="8" s="1"/>
  <c r="G259" i="8"/>
  <c r="H259" i="8" s="1"/>
  <c r="G258" i="8"/>
  <c r="G256" i="8"/>
  <c r="H256" i="8" s="1"/>
  <c r="G255" i="8"/>
  <c r="H255" i="8" s="1"/>
  <c r="G254" i="8"/>
  <c r="H254" i="8" s="1"/>
  <c r="G253" i="8"/>
  <c r="H253" i="8" s="1"/>
  <c r="G135" i="8"/>
  <c r="H135" i="8" s="1"/>
  <c r="G133" i="8"/>
  <c r="H133" i="8" s="1"/>
  <c r="B133" i="8"/>
  <c r="G132" i="8"/>
  <c r="H132" i="8" s="1"/>
  <c r="B132" i="8"/>
  <c r="G131" i="8"/>
  <c r="H131" i="8" s="1"/>
  <c r="B131" i="8"/>
  <c r="G106" i="8"/>
  <c r="G104" i="8"/>
  <c r="H104" i="8" s="1"/>
  <c r="B104" i="8"/>
  <c r="G103" i="8"/>
  <c r="H103" i="8" s="1"/>
  <c r="B103" i="8"/>
  <c r="G102" i="8"/>
  <c r="H102" i="8" s="1"/>
  <c r="B102" i="8"/>
  <c r="G71" i="8"/>
  <c r="H71" i="8" s="1"/>
  <c r="G70" i="8"/>
  <c r="G69" i="8"/>
  <c r="H69" i="8" s="1"/>
  <c r="C64" i="8"/>
  <c r="G45" i="8"/>
  <c r="G42" i="8"/>
  <c r="G39" i="8"/>
  <c r="H39" i="8" s="1"/>
  <c r="G38" i="8"/>
  <c r="H38" i="8" s="1"/>
  <c r="G37" i="8"/>
  <c r="H37" i="8" s="1"/>
  <c r="H40" i="8" s="1"/>
  <c r="G34" i="8"/>
  <c r="G31" i="8"/>
  <c r="H31" i="8" s="1"/>
  <c r="G30" i="8"/>
  <c r="H30" i="8" s="1"/>
  <c r="G29" i="8"/>
  <c r="H29" i="8"/>
  <c r="G28" i="8"/>
  <c r="G27" i="8"/>
  <c r="H27" i="8" s="1"/>
  <c r="G26" i="8"/>
  <c r="H26" i="8"/>
  <c r="G25" i="8"/>
  <c r="H25" i="8" s="1"/>
  <c r="G18" i="8"/>
  <c r="G17" i="8"/>
  <c r="H17" i="8"/>
  <c r="G15" i="8"/>
  <c r="H15" i="8" s="1"/>
  <c r="G14" i="8"/>
  <c r="G13" i="8"/>
  <c r="H13" i="8" s="1"/>
  <c r="G12" i="8"/>
  <c r="H12" i="8" s="1"/>
  <c r="G11" i="8"/>
  <c r="H11" i="8" s="1"/>
  <c r="E402" i="8"/>
  <c r="E93" i="22"/>
  <c r="D402" i="8"/>
  <c r="D93" i="22" s="1"/>
  <c r="C85" i="22"/>
  <c r="C69" i="22"/>
  <c r="J429" i="8"/>
  <c r="H429" i="8"/>
  <c r="H428" i="8"/>
  <c r="H427" i="8"/>
  <c r="H426" i="8"/>
  <c r="H425" i="8"/>
  <c r="J424" i="8"/>
  <c r="J423" i="8"/>
  <c r="H422" i="8"/>
  <c r="H421" i="8"/>
  <c r="H420" i="8"/>
  <c r="J419" i="8"/>
  <c r="J418" i="8"/>
  <c r="J417" i="8"/>
  <c r="H416" i="8"/>
  <c r="H415" i="8"/>
  <c r="J414" i="8"/>
  <c r="J413" i="8"/>
  <c r="J412" i="8"/>
  <c r="J411" i="8"/>
  <c r="H411" i="8"/>
  <c r="H410" i="8"/>
  <c r="J409" i="8"/>
  <c r="J408" i="8"/>
  <c r="J407" i="8"/>
  <c r="J406" i="8"/>
  <c r="J405" i="8"/>
  <c r="H405" i="8"/>
  <c r="J403" i="8"/>
  <c r="H403" i="8"/>
  <c r="H400" i="8"/>
  <c r="E399" i="8"/>
  <c r="E92" i="22"/>
  <c r="D399" i="8"/>
  <c r="D92" i="22" s="1"/>
  <c r="H397" i="8"/>
  <c r="E396" i="8"/>
  <c r="E91" i="22" s="1"/>
  <c r="D396" i="8"/>
  <c r="D91" i="22"/>
  <c r="H394" i="8"/>
  <c r="E393" i="8"/>
  <c r="E90" i="22" s="1"/>
  <c r="D393" i="8"/>
  <c r="D90" i="22"/>
  <c r="H391" i="8"/>
  <c r="E390" i="8"/>
  <c r="E89" i="22"/>
  <c r="D390" i="8"/>
  <c r="D89" i="22" s="1"/>
  <c r="J388" i="8"/>
  <c r="E387" i="8"/>
  <c r="E88" i="22"/>
  <c r="D387" i="8"/>
  <c r="D88" i="22" s="1"/>
  <c r="J385" i="8"/>
  <c r="H385" i="8"/>
  <c r="E384" i="8"/>
  <c r="E87" i="22" s="1"/>
  <c r="D384" i="8"/>
  <c r="D87" i="22"/>
  <c r="H382" i="8"/>
  <c r="E381" i="8"/>
  <c r="E86" i="22"/>
  <c r="D381" i="8"/>
  <c r="D86" i="22" s="1"/>
  <c r="H379" i="8"/>
  <c r="E378" i="8"/>
  <c r="E85" i="22"/>
  <c r="D378" i="8"/>
  <c r="D85" i="22" s="1"/>
  <c r="H376" i="8"/>
  <c r="E375" i="8"/>
  <c r="E84" i="22" s="1"/>
  <c r="D375" i="8"/>
  <c r="D84" i="22"/>
  <c r="J373" i="8"/>
  <c r="E372" i="8"/>
  <c r="E83" i="22" s="1"/>
  <c r="D372" i="8"/>
  <c r="D83" i="22"/>
  <c r="J370" i="8"/>
  <c r="E369" i="8"/>
  <c r="E82" i="22"/>
  <c r="D369" i="8"/>
  <c r="D82" i="22" s="1"/>
  <c r="J367" i="8"/>
  <c r="H367" i="8"/>
  <c r="E366" i="8"/>
  <c r="E81" i="22" s="1"/>
  <c r="D366" i="8"/>
  <c r="D81" i="22"/>
  <c r="H364" i="8"/>
  <c r="E363" i="8"/>
  <c r="E80" i="22" s="1"/>
  <c r="D363" i="8"/>
  <c r="D80" i="22"/>
  <c r="H361" i="8"/>
  <c r="E360" i="8"/>
  <c r="E79" i="22"/>
  <c r="D360" i="8"/>
  <c r="D79" i="22" s="1"/>
  <c r="J358" i="8"/>
  <c r="E357" i="8"/>
  <c r="E78" i="22"/>
  <c r="D357" i="8"/>
  <c r="D78" i="22" s="1"/>
  <c r="J355" i="8"/>
  <c r="E354" i="8"/>
  <c r="E77" i="22" s="1"/>
  <c r="D354" i="8"/>
  <c r="D77" i="22"/>
  <c r="J352" i="8"/>
  <c r="E351" i="8"/>
  <c r="E76" i="22" s="1"/>
  <c r="D351" i="8"/>
  <c r="D76" i="22"/>
  <c r="J349" i="8"/>
  <c r="H349" i="8"/>
  <c r="E348" i="8"/>
  <c r="E75" i="22"/>
  <c r="D348" i="8"/>
  <c r="D75" i="22" s="1"/>
  <c r="H346" i="8"/>
  <c r="E345" i="8"/>
  <c r="E74" i="22" s="1"/>
  <c r="D345" i="8"/>
  <c r="D74" i="22"/>
  <c r="J343" i="8"/>
  <c r="E342" i="8"/>
  <c r="E73" i="22" s="1"/>
  <c r="D342" i="8"/>
  <c r="D73" i="22"/>
  <c r="J340" i="8"/>
  <c r="E339" i="8"/>
  <c r="E72" i="22"/>
  <c r="D339" i="8"/>
  <c r="D72" i="22" s="1"/>
  <c r="J337" i="8"/>
  <c r="E336" i="8"/>
  <c r="E71" i="22"/>
  <c r="D336" i="8"/>
  <c r="D71" i="22" s="1"/>
  <c r="J334" i="8"/>
  <c r="E333" i="8"/>
  <c r="D333" i="8"/>
  <c r="D70" i="22" s="1"/>
  <c r="J331" i="8"/>
  <c r="J430" i="8"/>
  <c r="H331" i="8"/>
  <c r="H430" i="8" s="1"/>
  <c r="H316" i="8"/>
  <c r="H315" i="8"/>
  <c r="H309" i="8"/>
  <c r="H308" i="8"/>
  <c r="H307" i="8"/>
  <c r="H306" i="8"/>
  <c r="H304" i="8"/>
  <c r="H303" i="8"/>
  <c r="E244" i="8"/>
  <c r="H302" i="8"/>
  <c r="E243" i="8" s="1"/>
  <c r="H301" i="8"/>
  <c r="H310" i="8"/>
  <c r="B300" i="8"/>
  <c r="H295" i="8"/>
  <c r="H294" i="8"/>
  <c r="H293" i="8"/>
  <c r="H292" i="8"/>
  <c r="H291" i="8"/>
  <c r="H290" i="8"/>
  <c r="H288" i="8"/>
  <c r="H287" i="8"/>
  <c r="E286" i="8"/>
  <c r="E69" i="22"/>
  <c r="D286" i="8"/>
  <c r="D69" i="22" s="1"/>
  <c r="H284" i="8"/>
  <c r="E283" i="8"/>
  <c r="E68" i="22"/>
  <c r="D283" i="8"/>
  <c r="D68" i="22"/>
  <c r="H281" i="8"/>
  <c r="E280" i="8"/>
  <c r="E67" i="22" s="1"/>
  <c r="D280" i="8"/>
  <c r="H278" i="8"/>
  <c r="E277" i="8"/>
  <c r="E66" i="22" s="1"/>
  <c r="D277" i="8"/>
  <c r="D66" i="22"/>
  <c r="H275" i="8"/>
  <c r="H296" i="8" s="1"/>
  <c r="H265" i="8"/>
  <c r="H264" i="8"/>
  <c r="H262" i="8"/>
  <c r="H258" i="8"/>
  <c r="D246" i="8"/>
  <c r="E245" i="8"/>
  <c r="H241" i="8"/>
  <c r="H238" i="8"/>
  <c r="H237" i="8"/>
  <c r="H236" i="8"/>
  <c r="H235" i="8"/>
  <c r="H234" i="8"/>
  <c r="H233" i="8"/>
  <c r="H231" i="8"/>
  <c r="H230" i="8"/>
  <c r="H228" i="8"/>
  <c r="H227" i="8"/>
  <c r="H226" i="8"/>
  <c r="H225" i="8"/>
  <c r="H224" i="8"/>
  <c r="H222" i="8"/>
  <c r="H221" i="8"/>
  <c r="H220" i="8"/>
  <c r="H219" i="8"/>
  <c r="H218" i="8"/>
  <c r="H217" i="8"/>
  <c r="H216" i="8"/>
  <c r="H214" i="8"/>
  <c r="H213" i="8"/>
  <c r="H209" i="8"/>
  <c r="H208" i="8"/>
  <c r="E206" i="8"/>
  <c r="E65" i="22" s="1"/>
  <c r="D206" i="8"/>
  <c r="D65" i="22"/>
  <c r="H204" i="8"/>
  <c r="E203" i="8"/>
  <c r="E64" i="22"/>
  <c r="D203" i="8"/>
  <c r="D64" i="22"/>
  <c r="H201" i="8"/>
  <c r="E199" i="8"/>
  <c r="E63" i="22"/>
  <c r="D199" i="8"/>
  <c r="D63" i="22" s="1"/>
  <c r="H197" i="8"/>
  <c r="E196" i="8"/>
  <c r="D196" i="8"/>
  <c r="D62" i="22" s="1"/>
  <c r="H194" i="8"/>
  <c r="E193" i="8"/>
  <c r="E61" i="22"/>
  <c r="D193" i="8"/>
  <c r="D61" i="22"/>
  <c r="H191" i="8"/>
  <c r="H190" i="8"/>
  <c r="E189" i="8"/>
  <c r="E60" i="22"/>
  <c r="D189" i="8"/>
  <c r="D60" i="22"/>
  <c r="H187" i="8"/>
  <c r="E186" i="8"/>
  <c r="E59" i="22" s="1"/>
  <c r="D186" i="8"/>
  <c r="D59" i="22" s="1"/>
  <c r="H184" i="8"/>
  <c r="E183" i="8"/>
  <c r="E58" i="22"/>
  <c r="D183" i="8"/>
  <c r="D58" i="22"/>
  <c r="H181" i="8"/>
  <c r="E180" i="8"/>
  <c r="E57" i="22" s="1"/>
  <c r="D180" i="8"/>
  <c r="D57" i="22" s="1"/>
  <c r="H178" i="8"/>
  <c r="H210" i="8" s="1"/>
  <c r="D174" i="8"/>
  <c r="B174" i="8"/>
  <c r="C56" i="22"/>
  <c r="D172" i="8"/>
  <c r="D55" i="22"/>
  <c r="B172" i="8"/>
  <c r="C55" i="22"/>
  <c r="D170" i="8"/>
  <c r="D54" i="22"/>
  <c r="B170" i="8"/>
  <c r="C54" i="22"/>
  <c r="H165" i="8"/>
  <c r="H164" i="8"/>
  <c r="H163" i="8"/>
  <c r="H162" i="8"/>
  <c r="H161" i="8"/>
  <c r="H160" i="8"/>
  <c r="H159" i="8"/>
  <c r="H157" i="8"/>
  <c r="H156" i="8"/>
  <c r="H153" i="8"/>
  <c r="H152" i="8"/>
  <c r="H149" i="8"/>
  <c r="H148" i="8"/>
  <c r="H145" i="8"/>
  <c r="H144" i="8"/>
  <c r="H141" i="8"/>
  <c r="H140" i="8"/>
  <c r="H136" i="8"/>
  <c r="H129" i="8"/>
  <c r="H128" i="8"/>
  <c r="H127" i="8"/>
  <c r="H126" i="8"/>
  <c r="H124" i="8"/>
  <c r="H123" i="8"/>
  <c r="H120" i="8"/>
  <c r="H119" i="8"/>
  <c r="H166" i="8"/>
  <c r="H117" i="8"/>
  <c r="H116" i="8"/>
  <c r="H107" i="8"/>
  <c r="H106" i="8"/>
  <c r="H100" i="8"/>
  <c r="H99" i="8"/>
  <c r="H98" i="8"/>
  <c r="H97" i="8"/>
  <c r="H95" i="8"/>
  <c r="H94" i="8"/>
  <c r="H91" i="8"/>
  <c r="H90" i="8"/>
  <c r="H88" i="8"/>
  <c r="H87" i="8"/>
  <c r="H70" i="8"/>
  <c r="G61" i="8"/>
  <c r="G53" i="22" s="1"/>
  <c r="F61" i="8"/>
  <c r="F53" i="22"/>
  <c r="E61" i="8"/>
  <c r="E53" i="22" s="1"/>
  <c r="D61" i="8"/>
  <c r="D53" i="22"/>
  <c r="B61" i="8"/>
  <c r="C53" i="22" s="1"/>
  <c r="G58" i="8"/>
  <c r="G52" i="22"/>
  <c r="F58" i="8"/>
  <c r="F52" i="22" s="1"/>
  <c r="E58" i="8"/>
  <c r="E52" i="22" s="1"/>
  <c r="D58" i="8"/>
  <c r="D52" i="22"/>
  <c r="B58" i="8"/>
  <c r="C52" i="22"/>
  <c r="D40" i="8"/>
  <c r="D32" i="8"/>
  <c r="H28" i="8"/>
  <c r="H18" i="8"/>
  <c r="H14" i="8"/>
  <c r="D9" i="8"/>
  <c r="D51" i="22"/>
  <c r="B9" i="8"/>
  <c r="C51" i="22"/>
  <c r="H8" i="8"/>
  <c r="H6" i="8"/>
  <c r="B255" i="30"/>
  <c r="C130" i="22" s="1"/>
  <c r="B246" i="30"/>
  <c r="C129" i="22" s="1"/>
  <c r="G255" i="30"/>
  <c r="H130" i="22" s="1"/>
  <c r="F255" i="30"/>
  <c r="G130" i="22" s="1"/>
  <c r="E255" i="30"/>
  <c r="F130" i="22" s="1"/>
  <c r="D255" i="30"/>
  <c r="E130" i="22" s="1"/>
  <c r="C255" i="30"/>
  <c r="D130" i="22" s="1"/>
  <c r="G246" i="30"/>
  <c r="H129" i="22" s="1"/>
  <c r="F246" i="30"/>
  <c r="G129" i="22" s="1"/>
  <c r="E246" i="30"/>
  <c r="F129" i="22" s="1"/>
  <c r="D246" i="30"/>
  <c r="E129" i="22" s="1"/>
  <c r="C246" i="30"/>
  <c r="D129" i="22" s="1"/>
  <c r="B39" i="1"/>
  <c r="L109" i="32"/>
  <c r="K109" i="32"/>
  <c r="J109" i="32"/>
  <c r="L102" i="32"/>
  <c r="K102" i="32"/>
  <c r="K112" i="32"/>
  <c r="J102" i="32"/>
  <c r="F109" i="32"/>
  <c r="E109" i="32"/>
  <c r="D109" i="32"/>
  <c r="F102" i="32"/>
  <c r="F112" i="32"/>
  <c r="E102" i="32"/>
  <c r="E112" i="32"/>
  <c r="D102" i="32"/>
  <c r="D112" i="32"/>
  <c r="M43" i="22"/>
  <c r="H43" i="22"/>
  <c r="H89" i="32"/>
  <c r="J37" i="32"/>
  <c r="J36" i="32" s="1"/>
  <c r="D37" i="32"/>
  <c r="D36" i="32" s="1"/>
  <c r="C33" i="22"/>
  <c r="C32" i="22"/>
  <c r="C31" i="22"/>
  <c r="C30" i="22"/>
  <c r="K27" i="32"/>
  <c r="J32" i="22" s="1"/>
  <c r="K26" i="32"/>
  <c r="J31" i="22"/>
  <c r="K25" i="32"/>
  <c r="J30" i="22" s="1"/>
  <c r="E27" i="32"/>
  <c r="E32" i="22"/>
  <c r="E26" i="32"/>
  <c r="E31" i="22" s="1"/>
  <c r="E25" i="32"/>
  <c r="E30" i="22"/>
  <c r="L13" i="32"/>
  <c r="L17" i="32" s="1"/>
  <c r="F13" i="32"/>
  <c r="M17" i="32"/>
  <c r="G17" i="32"/>
  <c r="B196" i="1"/>
  <c r="C16" i="22" s="1"/>
  <c r="C196" i="1"/>
  <c r="D16" i="22" s="1"/>
  <c r="G93" i="1"/>
  <c r="G90" i="1"/>
  <c r="C195" i="1"/>
  <c r="D15" i="22" s="1"/>
  <c r="B195" i="1"/>
  <c r="C15" i="22" s="1"/>
  <c r="F88" i="1"/>
  <c r="F86" i="1" s="1"/>
  <c r="C211" i="1"/>
  <c r="F107" i="1"/>
  <c r="C108" i="1"/>
  <c r="F121" i="1"/>
  <c r="C121" i="1"/>
  <c r="F103" i="1"/>
  <c r="F104" i="1"/>
  <c r="F102" i="1"/>
  <c r="F100" i="1"/>
  <c r="F99" i="1"/>
  <c r="F96" i="1"/>
  <c r="F93" i="1"/>
  <c r="F90" i="1"/>
  <c r="F105" i="1"/>
  <c r="G102" i="1"/>
  <c r="G103" i="1"/>
  <c r="G104" i="1"/>
  <c r="G96" i="1"/>
  <c r="G107" i="1"/>
  <c r="E70" i="22"/>
  <c r="D67" i="22"/>
  <c r="E62" i="22"/>
  <c r="D56" i="22"/>
  <c r="B212" i="1"/>
  <c r="C17" i="22" s="1"/>
  <c r="D32" i="28"/>
  <c r="D40" i="28"/>
  <c r="D42" i="28" s="1"/>
  <c r="D94" i="28"/>
  <c r="D43" i="28" s="1"/>
  <c r="D100" i="28"/>
  <c r="D44" i="28" s="1"/>
  <c r="D112" i="28"/>
  <c r="D45" i="28" s="1"/>
  <c r="D120" i="28"/>
  <c r="D46" i="28" s="1"/>
  <c r="D47" i="28"/>
  <c r="D141" i="28"/>
  <c r="D48" i="28"/>
  <c r="D161" i="28"/>
  <c r="D49" i="28"/>
  <c r="D50" i="28"/>
  <c r="D175" i="28"/>
  <c r="D51" i="28" s="1"/>
  <c r="D52" i="28"/>
  <c r="D185" i="28"/>
  <c r="D193" i="28" s="1"/>
  <c r="D188" i="28"/>
  <c r="D191" i="28"/>
  <c r="D214" i="28"/>
  <c r="D231" i="28"/>
  <c r="D113" i="28"/>
  <c r="D236" i="28"/>
  <c r="D124" i="28"/>
  <c r="D217" i="28"/>
  <c r="D224" i="28"/>
  <c r="D128" i="28"/>
  <c r="D220" i="28"/>
  <c r="D225" i="28" s="1"/>
  <c r="D143" i="28"/>
  <c r="D147" i="28"/>
  <c r="D152" i="28" s="1"/>
  <c r="D82" i="28" s="1"/>
  <c r="D53" i="1" s="1"/>
  <c r="D151" i="28"/>
  <c r="M51" i="32"/>
  <c r="L37" i="22"/>
  <c r="G51" i="32"/>
  <c r="G37" i="22"/>
  <c r="K13" i="32"/>
  <c r="E13" i="32"/>
  <c r="L22" i="22"/>
  <c r="G22" i="22"/>
  <c r="N16" i="32"/>
  <c r="M28" i="22"/>
  <c r="N15" i="32"/>
  <c r="M27" i="22"/>
  <c r="N14" i="32"/>
  <c r="M26" i="22"/>
  <c r="H16" i="32"/>
  <c r="H28" i="22"/>
  <c r="H15" i="32"/>
  <c r="H27" i="22"/>
  <c r="H14" i="32"/>
  <c r="H26" i="22"/>
  <c r="C28" i="22"/>
  <c r="C27" i="22"/>
  <c r="C26" i="22"/>
  <c r="D139" i="1"/>
  <c r="E9" i="22" s="1"/>
  <c r="C139" i="1"/>
  <c r="D9" i="22" s="1"/>
  <c r="D147" i="1"/>
  <c r="D151" i="1"/>
  <c r="C147" i="1"/>
  <c r="C151" i="1"/>
  <c r="C208" i="28"/>
  <c r="C207" i="28"/>
  <c r="C206" i="28"/>
  <c r="C205" i="28"/>
  <c r="C16" i="28"/>
  <c r="D94" i="32"/>
  <c r="D93" i="32"/>
  <c r="D41" i="22" s="1"/>
  <c r="D40" i="22"/>
  <c r="J95" i="32"/>
  <c r="I43" i="22"/>
  <c r="J94" i="32"/>
  <c r="N37" i="32"/>
  <c r="K34" i="22" s="1"/>
  <c r="H41" i="32"/>
  <c r="F36" i="22" s="1"/>
  <c r="H40" i="32"/>
  <c r="F35" i="22" s="1"/>
  <c r="N41" i="32"/>
  <c r="K36" i="22" s="1"/>
  <c r="N40" i="32"/>
  <c r="K35" i="22" s="1"/>
  <c r="I203" i="30"/>
  <c r="N203" i="30" s="1"/>
  <c r="P203" i="30" s="1"/>
  <c r="C197" i="1"/>
  <c r="I202" i="30"/>
  <c r="N202" i="30" s="1"/>
  <c r="P202" i="30" s="1"/>
  <c r="I201" i="30"/>
  <c r="N201" i="30" s="1"/>
  <c r="P201" i="30" s="1"/>
  <c r="I200" i="30"/>
  <c r="N200" i="30" s="1"/>
  <c r="P200" i="30" s="1"/>
  <c r="I199" i="30"/>
  <c r="N199" i="30" s="1"/>
  <c r="P199" i="30" s="1"/>
  <c r="P198" i="30"/>
  <c r="I197" i="30"/>
  <c r="N197" i="30" s="1"/>
  <c r="P197" i="30" s="1"/>
  <c r="I196" i="30"/>
  <c r="N196" i="30" s="1"/>
  <c r="P196" i="30" s="1"/>
  <c r="I195" i="30"/>
  <c r="N195" i="30" s="1"/>
  <c r="P195" i="30" s="1"/>
  <c r="P193" i="30"/>
  <c r="N191" i="30"/>
  <c r="P191" i="30" s="1"/>
  <c r="P190" i="30"/>
  <c r="P189" i="30"/>
  <c r="P188" i="30"/>
  <c r="P187" i="30"/>
  <c r="M186" i="30"/>
  <c r="N186" i="30" s="1"/>
  <c r="P186" i="30" s="1"/>
  <c r="M185" i="30"/>
  <c r="N185" i="30" s="1"/>
  <c r="P185" i="30" s="1"/>
  <c r="P184" i="30"/>
  <c r="L183" i="30"/>
  <c r="N183" i="30" s="1"/>
  <c r="P183" i="30" s="1"/>
  <c r="L182" i="30"/>
  <c r="N182" i="30" s="1"/>
  <c r="P182" i="30" s="1"/>
  <c r="L181" i="30"/>
  <c r="N181" i="30" s="1"/>
  <c r="P181" i="30" s="1"/>
  <c r="L180" i="30"/>
  <c r="N180" i="30" s="1"/>
  <c r="P180" i="30" s="1"/>
  <c r="L179" i="30"/>
  <c r="N179" i="30" s="1"/>
  <c r="P179" i="30" s="1"/>
  <c r="P178" i="30"/>
  <c r="L177" i="30"/>
  <c r="N177" i="30" s="1"/>
  <c r="P177" i="30" s="1"/>
  <c r="P176" i="30"/>
  <c r="P175" i="30"/>
  <c r="M174" i="30"/>
  <c r="N174" i="30" s="1"/>
  <c r="P174" i="30" s="1"/>
  <c r="M173" i="30"/>
  <c r="N173" i="30" s="1"/>
  <c r="P173" i="30" s="1"/>
  <c r="M172" i="30"/>
  <c r="N172" i="30" s="1"/>
  <c r="P172" i="30" s="1"/>
  <c r="M171" i="30"/>
  <c r="N171" i="30" s="1"/>
  <c r="P171" i="30" s="1"/>
  <c r="M170" i="30"/>
  <c r="N170" i="30" s="1"/>
  <c r="P170" i="30" s="1"/>
  <c r="P169" i="30"/>
  <c r="M168" i="30"/>
  <c r="N168" i="30" s="1"/>
  <c r="P168" i="30" s="1"/>
  <c r="P167" i="30"/>
  <c r="P166" i="30"/>
  <c r="L165" i="30"/>
  <c r="N165" i="30" s="1"/>
  <c r="P165" i="30" s="1"/>
  <c r="L164" i="30"/>
  <c r="N164" i="30" s="1"/>
  <c r="P164" i="30" s="1"/>
  <c r="L163" i="30"/>
  <c r="N163" i="30" s="1"/>
  <c r="P163" i="30" s="1"/>
  <c r="L162" i="30"/>
  <c r="N162" i="30" s="1"/>
  <c r="P162" i="30" s="1"/>
  <c r="L161" i="30"/>
  <c r="N161" i="30" s="1"/>
  <c r="P161" i="30" s="1"/>
  <c r="P160" i="30"/>
  <c r="L159" i="30"/>
  <c r="N159" i="30" s="1"/>
  <c r="P159" i="30" s="1"/>
  <c r="P158" i="30"/>
  <c r="P157" i="30"/>
  <c r="L156" i="30"/>
  <c r="M156" i="30"/>
  <c r="L155" i="30"/>
  <c r="M155" i="30"/>
  <c r="N155" i="30" s="1"/>
  <c r="P155" i="30" s="1"/>
  <c r="L154" i="30"/>
  <c r="M154" i="30"/>
  <c r="L153" i="30"/>
  <c r="M153" i="30"/>
  <c r="N153" i="30" s="1"/>
  <c r="P153" i="30" s="1"/>
  <c r="L152" i="30"/>
  <c r="N152" i="30" s="1"/>
  <c r="P152" i="30" s="1"/>
  <c r="M152" i="30"/>
  <c r="P151" i="30"/>
  <c r="L150" i="30"/>
  <c r="N150" i="30" s="1"/>
  <c r="P150" i="30" s="1"/>
  <c r="M150" i="30"/>
  <c r="P149" i="30"/>
  <c r="P148" i="30"/>
  <c r="L147" i="30"/>
  <c r="N147" i="30" s="1"/>
  <c r="P147" i="30" s="1"/>
  <c r="L146" i="30"/>
  <c r="N146" i="30" s="1"/>
  <c r="P146" i="30" s="1"/>
  <c r="L145" i="30"/>
  <c r="N145" i="30" s="1"/>
  <c r="P145" i="30" s="1"/>
  <c r="L144" i="30"/>
  <c r="N144" i="30" s="1"/>
  <c r="P144" i="30" s="1"/>
  <c r="L143" i="30"/>
  <c r="N143" i="30" s="1"/>
  <c r="P143" i="30" s="1"/>
  <c r="P142" i="30"/>
  <c r="L141" i="30"/>
  <c r="N141" i="30" s="1"/>
  <c r="P141" i="30" s="1"/>
  <c r="P140" i="30"/>
  <c r="P139" i="30"/>
  <c r="L138" i="30"/>
  <c r="M138" i="30"/>
  <c r="L137" i="30"/>
  <c r="M137" i="30"/>
  <c r="L136" i="30"/>
  <c r="M136" i="30"/>
  <c r="L135" i="30"/>
  <c r="M135" i="30"/>
  <c r="L134" i="30"/>
  <c r="M134" i="30"/>
  <c r="P133" i="30"/>
  <c r="L132" i="30"/>
  <c r="M132" i="30"/>
  <c r="P131" i="30"/>
  <c r="P130" i="30"/>
  <c r="L129" i="30"/>
  <c r="M129" i="30"/>
  <c r="L128" i="30"/>
  <c r="M128" i="30"/>
  <c r="L127" i="30"/>
  <c r="M127" i="30"/>
  <c r="L126" i="30"/>
  <c r="N126" i="30" s="1"/>
  <c r="P126" i="30" s="1"/>
  <c r="M126" i="30"/>
  <c r="L125" i="30"/>
  <c r="M125" i="30"/>
  <c r="P124" i="30"/>
  <c r="L123" i="30"/>
  <c r="M123" i="30"/>
  <c r="P122" i="30"/>
  <c r="P121" i="30"/>
  <c r="M120" i="30"/>
  <c r="N120" i="30" s="1"/>
  <c r="P120" i="30" s="1"/>
  <c r="M119" i="30"/>
  <c r="N119" i="30" s="1"/>
  <c r="P119" i="30" s="1"/>
  <c r="M118" i="30"/>
  <c r="N118" i="30" s="1"/>
  <c r="P118" i="30" s="1"/>
  <c r="M117" i="30"/>
  <c r="N117" i="30" s="1"/>
  <c r="P117" i="30" s="1"/>
  <c r="M116" i="30"/>
  <c r="N116" i="30" s="1"/>
  <c r="P116" i="30" s="1"/>
  <c r="P115" i="30"/>
  <c r="M114" i="30"/>
  <c r="N114" i="30" s="1"/>
  <c r="P114" i="30" s="1"/>
  <c r="P113" i="30"/>
  <c r="P112" i="30"/>
  <c r="M111" i="30"/>
  <c r="N111" i="30" s="1"/>
  <c r="P111" i="30" s="1"/>
  <c r="M110" i="30"/>
  <c r="N110" i="30" s="1"/>
  <c r="P110" i="30" s="1"/>
  <c r="M109" i="30"/>
  <c r="N109" i="30" s="1"/>
  <c r="P109" i="30" s="1"/>
  <c r="M108" i="30"/>
  <c r="N108" i="30" s="1"/>
  <c r="P108" i="30" s="1"/>
  <c r="M107" i="30"/>
  <c r="N107" i="30" s="1"/>
  <c r="P107" i="30" s="1"/>
  <c r="P106" i="30"/>
  <c r="M105" i="30"/>
  <c r="N105" i="30" s="1"/>
  <c r="P105" i="30" s="1"/>
  <c r="P104" i="30"/>
  <c r="P103" i="30"/>
  <c r="L102" i="30"/>
  <c r="M102" i="30"/>
  <c r="L101" i="30"/>
  <c r="M101" i="30"/>
  <c r="L100" i="30"/>
  <c r="M100" i="30"/>
  <c r="L99" i="30"/>
  <c r="M99" i="30"/>
  <c r="L98" i="30"/>
  <c r="M98" i="30"/>
  <c r="P97" i="30"/>
  <c r="L96" i="30"/>
  <c r="M96" i="30"/>
  <c r="P95" i="30"/>
  <c r="P94" i="30"/>
  <c r="L93" i="30"/>
  <c r="M93" i="30"/>
  <c r="L92" i="30"/>
  <c r="N92" i="30" s="1"/>
  <c r="P92" i="30" s="1"/>
  <c r="M92" i="30"/>
  <c r="L91" i="30"/>
  <c r="N91" i="30" s="1"/>
  <c r="P91" i="30" s="1"/>
  <c r="M91" i="30"/>
  <c r="L90" i="30"/>
  <c r="M90" i="30"/>
  <c r="L89" i="30"/>
  <c r="N89" i="30" s="1"/>
  <c r="P89" i="30" s="1"/>
  <c r="M89" i="30"/>
  <c r="P88" i="30"/>
  <c r="L87" i="30"/>
  <c r="M87" i="30"/>
  <c r="P86" i="30"/>
  <c r="P85" i="30"/>
  <c r="L84" i="30"/>
  <c r="N84" i="30" s="1"/>
  <c r="P84" i="30" s="1"/>
  <c r="L83" i="30"/>
  <c r="N83" i="30" s="1"/>
  <c r="P83" i="30"/>
  <c r="L82" i="30"/>
  <c r="N82" i="30" s="1"/>
  <c r="P82" i="30" s="1"/>
  <c r="L81" i="30"/>
  <c r="N81" i="30" s="1"/>
  <c r="P81" i="30" s="1"/>
  <c r="L80" i="30"/>
  <c r="N80" i="30" s="1"/>
  <c r="P80" i="30" s="1"/>
  <c r="P79" i="30"/>
  <c r="L78" i="30"/>
  <c r="N78" i="30" s="1"/>
  <c r="P78" i="30" s="1"/>
  <c r="P77" i="30"/>
  <c r="P76" i="30"/>
  <c r="L75" i="30"/>
  <c r="M75" i="30"/>
  <c r="L74" i="30"/>
  <c r="M74" i="30"/>
  <c r="L73" i="30"/>
  <c r="N73" i="30" s="1"/>
  <c r="P73" i="30" s="1"/>
  <c r="M73" i="30"/>
  <c r="L72" i="30"/>
  <c r="M72" i="30"/>
  <c r="N72" i="30" s="1"/>
  <c r="P72" i="30" s="1"/>
  <c r="L71" i="30"/>
  <c r="N71" i="30" s="1"/>
  <c r="P71" i="30" s="1"/>
  <c r="M71" i="30"/>
  <c r="P70" i="30"/>
  <c r="L69" i="30"/>
  <c r="M69" i="30"/>
  <c r="P68" i="30"/>
  <c r="P67" i="30"/>
  <c r="L66" i="30"/>
  <c r="N66" i="30" s="1"/>
  <c r="P66" i="30" s="1"/>
  <c r="L65" i="30"/>
  <c r="N65" i="30" s="1"/>
  <c r="P65" i="30" s="1"/>
  <c r="L64" i="30"/>
  <c r="N64" i="30" s="1"/>
  <c r="P64" i="30" s="1"/>
  <c r="L63" i="30"/>
  <c r="N63" i="30" s="1"/>
  <c r="P63" i="30" s="1"/>
  <c r="L62" i="30"/>
  <c r="N62" i="30" s="1"/>
  <c r="P62" i="30" s="1"/>
  <c r="P61" i="30"/>
  <c r="L60" i="30"/>
  <c r="N60" i="30" s="1"/>
  <c r="P60" i="30" s="1"/>
  <c r="P59" i="30"/>
  <c r="P57" i="30"/>
  <c r="L56" i="30"/>
  <c r="N56" i="30" s="1"/>
  <c r="P56" i="30" s="1"/>
  <c r="L55" i="30"/>
  <c r="N55" i="30"/>
  <c r="P55" i="30" s="1"/>
  <c r="L54" i="30"/>
  <c r="N54" i="30" s="1"/>
  <c r="P54" i="30" s="1"/>
  <c r="L53" i="30"/>
  <c r="N53" i="30" s="1"/>
  <c r="P53" i="30" s="1"/>
  <c r="L52" i="30"/>
  <c r="N52" i="30" s="1"/>
  <c r="P52" i="30" s="1"/>
  <c r="P51" i="30"/>
  <c r="L50" i="30"/>
  <c r="N50" i="30" s="1"/>
  <c r="P50" i="30" s="1"/>
  <c r="P49" i="30"/>
  <c r="L48" i="30"/>
  <c r="N48" i="30" s="1"/>
  <c r="P48" i="30" s="1"/>
  <c r="E96" i="1"/>
  <c r="D96" i="1"/>
  <c r="C96" i="1"/>
  <c r="E93" i="1"/>
  <c r="D93" i="1"/>
  <c r="C93" i="1"/>
  <c r="E90" i="1"/>
  <c r="D90" i="1"/>
  <c r="C90" i="1"/>
  <c r="G88" i="1"/>
  <c r="G86" i="1" s="1"/>
  <c r="E86" i="1"/>
  <c r="D86" i="1"/>
  <c r="C86" i="1"/>
  <c r="F166" i="30"/>
  <c r="G125" i="22" s="1"/>
  <c r="E166" i="30"/>
  <c r="F125" i="22"/>
  <c r="D166" i="30"/>
  <c r="E125" i="22" s="1"/>
  <c r="C166" i="30"/>
  <c r="D125" i="22"/>
  <c r="B166" i="30"/>
  <c r="C125" i="22" s="1"/>
  <c r="M49" i="32"/>
  <c r="G49" i="32"/>
  <c r="K17" i="32"/>
  <c r="N12" i="32"/>
  <c r="M25" i="22" s="1"/>
  <c r="N11" i="32"/>
  <c r="M24" i="22" s="1"/>
  <c r="N10" i="32"/>
  <c r="M23" i="22" s="1"/>
  <c r="H12" i="32"/>
  <c r="H25" i="22" s="1"/>
  <c r="H11" i="32"/>
  <c r="H24" i="22" s="1"/>
  <c r="H10" i="32"/>
  <c r="H23" i="22" s="1"/>
  <c r="C9" i="22"/>
  <c r="C36" i="22"/>
  <c r="C35" i="22"/>
  <c r="C34" i="22"/>
  <c r="F24" i="32"/>
  <c r="F29" i="22" s="1"/>
  <c r="C29" i="22"/>
  <c r="C25" i="22"/>
  <c r="C24" i="22"/>
  <c r="C23" i="22"/>
  <c r="C14" i="22"/>
  <c r="C13" i="22"/>
  <c r="C12" i="22"/>
  <c r="D142" i="1"/>
  <c r="E11" i="22" s="1"/>
  <c r="C11" i="22"/>
  <c r="C10" i="22"/>
  <c r="C8" i="22"/>
  <c r="C7" i="22"/>
  <c r="C55" i="1"/>
  <c r="D6" i="22" s="1"/>
  <c r="C6" i="22"/>
  <c r="D4" i="22"/>
  <c r="C50" i="1"/>
  <c r="D5" i="22" s="1"/>
  <c r="C5" i="22"/>
  <c r="M22" i="22"/>
  <c r="K22" i="22"/>
  <c r="J22" i="22"/>
  <c r="I22" i="22"/>
  <c r="H22" i="22"/>
  <c r="F22" i="22"/>
  <c r="E22" i="22"/>
  <c r="D22" i="22"/>
  <c r="E50" i="22"/>
  <c r="D50" i="22"/>
  <c r="B232" i="30"/>
  <c r="B184" i="30"/>
  <c r="C127" i="22" s="1"/>
  <c r="B175" i="30"/>
  <c r="C126" i="22" s="1"/>
  <c r="B157" i="30"/>
  <c r="C124" i="22" s="1"/>
  <c r="B148" i="30"/>
  <c r="B139" i="30"/>
  <c r="C122" i="22" s="1"/>
  <c r="B130" i="30"/>
  <c r="C121" i="22" s="1"/>
  <c r="B121" i="30"/>
  <c r="C120" i="22" s="1"/>
  <c r="B112" i="30"/>
  <c r="C119" i="22" s="1"/>
  <c r="B103" i="30"/>
  <c r="C118" i="22" s="1"/>
  <c r="B94" i="30"/>
  <c r="C117" i="22" s="1"/>
  <c r="B85" i="30"/>
  <c r="C116" i="22" s="1"/>
  <c r="B76" i="30"/>
  <c r="B67" i="30"/>
  <c r="C114" i="22" s="1"/>
  <c r="B57" i="30"/>
  <c r="C112" i="22" s="1"/>
  <c r="B29" i="30"/>
  <c r="C110" i="22" s="1"/>
  <c r="B24" i="30"/>
  <c r="B19" i="30"/>
  <c r="C104" i="22" s="1"/>
  <c r="C46" i="22"/>
  <c r="C147" i="32"/>
  <c r="C44" i="22" s="1"/>
  <c r="C188" i="1"/>
  <c r="AH19" i="31"/>
  <c r="AH20" i="31" s="1"/>
  <c r="AH29" i="31"/>
  <c r="AH23" i="31"/>
  <c r="AH24" i="31"/>
  <c r="AH27" i="31"/>
  <c r="AH28" i="31" s="1"/>
  <c r="AG19" i="31"/>
  <c r="AG20" i="31"/>
  <c r="AG29" i="31" s="1"/>
  <c r="AG23" i="31"/>
  <c r="AG24" i="31" s="1"/>
  <c r="AG30" i="31"/>
  <c r="AG27" i="31"/>
  <c r="AG28" i="31"/>
  <c r="AF19" i="31"/>
  <c r="AF20" i="31" s="1"/>
  <c r="AF29" i="31"/>
  <c r="AF23" i="31"/>
  <c r="AF24" i="31"/>
  <c r="AF27" i="31"/>
  <c r="AF28" i="31" s="1"/>
  <c r="AE19" i="31"/>
  <c r="AE20" i="31"/>
  <c r="AE29" i="31" s="1"/>
  <c r="AE23" i="31"/>
  <c r="AE24" i="31" s="1"/>
  <c r="AE30" i="31"/>
  <c r="AE27" i="31"/>
  <c r="AE28" i="31"/>
  <c r="AD19" i="31"/>
  <c r="AD20" i="31" s="1"/>
  <c r="AD29" i="31"/>
  <c r="AD23" i="31"/>
  <c r="AD24" i="31"/>
  <c r="AD27" i="31"/>
  <c r="AD28" i="31" s="1"/>
  <c r="AC19" i="31"/>
  <c r="AC20" i="31"/>
  <c r="AC29" i="31" s="1"/>
  <c r="AC23" i="31"/>
  <c r="AC24" i="31" s="1"/>
  <c r="AC30" i="31"/>
  <c r="AC27" i="31"/>
  <c r="AC28" i="31"/>
  <c r="AB19" i="31"/>
  <c r="AB20" i="31" s="1"/>
  <c r="AB29" i="31"/>
  <c r="AB23" i="31"/>
  <c r="AB24" i="31"/>
  <c r="AB27" i="31"/>
  <c r="AB28" i="31" s="1"/>
  <c r="AA19" i="31"/>
  <c r="AA20" i="31"/>
  <c r="AA29" i="31" s="1"/>
  <c r="AA23" i="31"/>
  <c r="AA24" i="31" s="1"/>
  <c r="AA30" i="31"/>
  <c r="AA27" i="31"/>
  <c r="AA28" i="31"/>
  <c r="Z19" i="31"/>
  <c r="Z20" i="31" s="1"/>
  <c r="Z29" i="31"/>
  <c r="Z23" i="31"/>
  <c r="Z24" i="31"/>
  <c r="Z27" i="31"/>
  <c r="Z28" i="31" s="1"/>
  <c r="Y19" i="31"/>
  <c r="Y20" i="31"/>
  <c r="Y29" i="31" s="1"/>
  <c r="Y23" i="31"/>
  <c r="Y24" i="31" s="1"/>
  <c r="Y30" i="31"/>
  <c r="Y27" i="31"/>
  <c r="Y28" i="31"/>
  <c r="X19" i="31"/>
  <c r="X20" i="31" s="1"/>
  <c r="X29" i="31"/>
  <c r="X23" i="31"/>
  <c r="X24" i="31"/>
  <c r="X27" i="31"/>
  <c r="X28" i="31" s="1"/>
  <c r="W19" i="31"/>
  <c r="W20" i="31"/>
  <c r="W29" i="31" s="1"/>
  <c r="W23" i="31"/>
  <c r="W24" i="31" s="1"/>
  <c r="W30" i="31"/>
  <c r="W27" i="31"/>
  <c r="W28" i="31"/>
  <c r="V19" i="31"/>
  <c r="V20" i="31" s="1"/>
  <c r="V29" i="31"/>
  <c r="V23" i="31"/>
  <c r="V24" i="31"/>
  <c r="V27" i="31"/>
  <c r="V28" i="31" s="1"/>
  <c r="U19" i="31"/>
  <c r="U20" i="31"/>
  <c r="U29" i="31" s="1"/>
  <c r="U23" i="31"/>
  <c r="U24" i="31" s="1"/>
  <c r="U30" i="31"/>
  <c r="U27" i="31"/>
  <c r="U28" i="31"/>
  <c r="T19" i="31"/>
  <c r="T20" i="31" s="1"/>
  <c r="T29" i="31"/>
  <c r="T23" i="31"/>
  <c r="T24" i="31"/>
  <c r="T27" i="31"/>
  <c r="T28" i="31" s="1"/>
  <c r="S19" i="31"/>
  <c r="S20" i="31"/>
  <c r="S29" i="31" s="1"/>
  <c r="S23" i="31"/>
  <c r="S24" i="31" s="1"/>
  <c r="S30" i="31"/>
  <c r="S27" i="31"/>
  <c r="S28" i="31"/>
  <c r="R19" i="31"/>
  <c r="R20" i="31" s="1"/>
  <c r="R29" i="31"/>
  <c r="R23" i="31"/>
  <c r="R24" i="31"/>
  <c r="R27" i="31"/>
  <c r="R28" i="31" s="1"/>
  <c r="Q19" i="31"/>
  <c r="Q20" i="31"/>
  <c r="Q29" i="31" s="1"/>
  <c r="Q23" i="31"/>
  <c r="Q24" i="31" s="1"/>
  <c r="Q30" i="31" s="1"/>
  <c r="Q27" i="31"/>
  <c r="Q28" i="31"/>
  <c r="P19" i="31"/>
  <c r="P20" i="31" s="1"/>
  <c r="P29" i="31"/>
  <c r="P23" i="31"/>
  <c r="P24" i="31"/>
  <c r="P27" i="31"/>
  <c r="P28" i="31" s="1"/>
  <c r="O19" i="31"/>
  <c r="O20" i="31"/>
  <c r="O29" i="31" s="1"/>
  <c r="O30" i="31" s="1"/>
  <c r="O23" i="31"/>
  <c r="O24" i="31" s="1"/>
  <c r="O27" i="31"/>
  <c r="O28" i="31"/>
  <c r="N19" i="31"/>
  <c r="N20" i="31" s="1"/>
  <c r="N29" i="31" s="1"/>
  <c r="N23" i="31"/>
  <c r="N24" i="31"/>
  <c r="N30" i="31" s="1"/>
  <c r="N27" i="31"/>
  <c r="N28" i="31" s="1"/>
  <c r="N31" i="31" s="1"/>
  <c r="M19" i="31"/>
  <c r="M20" i="31"/>
  <c r="M29" i="31" s="1"/>
  <c r="M23" i="31"/>
  <c r="M24" i="31" s="1"/>
  <c r="M27" i="31"/>
  <c r="M28" i="31"/>
  <c r="L19" i="31"/>
  <c r="L20" i="31" s="1"/>
  <c r="L29" i="31" s="1"/>
  <c r="L23" i="31"/>
  <c r="L24" i="31"/>
  <c r="L27" i="31"/>
  <c r="L28" i="31" s="1"/>
  <c r="K19" i="31"/>
  <c r="K20" i="31"/>
  <c r="K29" i="31" s="1"/>
  <c r="K23" i="31"/>
  <c r="K24" i="31" s="1"/>
  <c r="K30" i="31"/>
  <c r="K27" i="31"/>
  <c r="K28" i="31"/>
  <c r="J19" i="31"/>
  <c r="J20" i="31" s="1"/>
  <c r="J29" i="31" s="1"/>
  <c r="J23" i="31"/>
  <c r="J24" i="31"/>
  <c r="J30" i="31" s="1"/>
  <c r="J31" i="31" s="1"/>
  <c r="J27" i="31"/>
  <c r="J28" i="31" s="1"/>
  <c r="I19" i="31"/>
  <c r="I20" i="31"/>
  <c r="I29" i="31" s="1"/>
  <c r="I23" i="31"/>
  <c r="I24" i="31" s="1"/>
  <c r="I27" i="31"/>
  <c r="I28" i="31"/>
  <c r="H19" i="31"/>
  <c r="H20" i="31" s="1"/>
  <c r="H29" i="31" s="1"/>
  <c r="H23" i="31"/>
  <c r="H24" i="31"/>
  <c r="H27" i="31"/>
  <c r="H28" i="31" s="1"/>
  <c r="G19" i="31"/>
  <c r="G20" i="31"/>
  <c r="G29" i="31" s="1"/>
  <c r="G23" i="31"/>
  <c r="G24" i="31" s="1"/>
  <c r="G30" i="31" s="1"/>
  <c r="G27" i="31"/>
  <c r="G28" i="31"/>
  <c r="F19" i="31"/>
  <c r="F20" i="31" s="1"/>
  <c r="F29" i="31" s="1"/>
  <c r="F23" i="31"/>
  <c r="F24" i="31"/>
  <c r="F27" i="31"/>
  <c r="F28" i="31" s="1"/>
  <c r="E23" i="31"/>
  <c r="E24" i="31"/>
  <c r="E19" i="31"/>
  <c r="E20" i="31"/>
  <c r="E29" i="31" s="1"/>
  <c r="E27" i="31"/>
  <c r="E28" i="31"/>
  <c r="J147" i="32"/>
  <c r="I44" i="22"/>
  <c r="J164" i="32"/>
  <c r="I45" i="22"/>
  <c r="C45" i="22"/>
  <c r="D18" i="28"/>
  <c r="C173" i="1"/>
  <c r="C44" i="1"/>
  <c r="C47" i="1"/>
  <c r="C52" i="1"/>
  <c r="G29" i="30"/>
  <c r="H110" i="22" s="1"/>
  <c r="G24" i="30"/>
  <c r="H107" i="22" s="1"/>
  <c r="G19" i="30"/>
  <c r="H104" i="22" s="1"/>
  <c r="F29" i="30"/>
  <c r="G110" i="22" s="1"/>
  <c r="F24" i="30"/>
  <c r="G107" i="22" s="1"/>
  <c r="F19" i="30"/>
  <c r="G104" i="22" s="1"/>
  <c r="E29" i="30"/>
  <c r="F110" i="22" s="1"/>
  <c r="E24" i="30"/>
  <c r="F107" i="22"/>
  <c r="E19" i="30"/>
  <c r="F104" i="22" s="1"/>
  <c r="D29" i="30"/>
  <c r="E110" i="22" s="1"/>
  <c r="D24" i="30"/>
  <c r="E107" i="22" s="1"/>
  <c r="D19" i="30"/>
  <c r="E104" i="22" s="1"/>
  <c r="C29" i="30"/>
  <c r="D110" i="22" s="1"/>
  <c r="C24" i="30"/>
  <c r="D107" i="22" s="1"/>
  <c r="C19" i="30"/>
  <c r="D104" i="22" s="1"/>
  <c r="C107" i="22"/>
  <c r="G232" i="30"/>
  <c r="H128" i="22" s="1"/>
  <c r="F232" i="30"/>
  <c r="E232" i="30"/>
  <c r="F128" i="22" s="1"/>
  <c r="D232" i="30"/>
  <c r="E128" i="22" s="1"/>
  <c r="C232" i="30"/>
  <c r="D128" i="22" s="1"/>
  <c r="F184" i="30"/>
  <c r="E184" i="30"/>
  <c r="F127" i="22" s="1"/>
  <c r="D184" i="30"/>
  <c r="E127" i="22" s="1"/>
  <c r="C184" i="30"/>
  <c r="G175" i="30"/>
  <c r="G157" i="30"/>
  <c r="H124" i="22" s="1"/>
  <c r="F157" i="30"/>
  <c r="G124" i="22" s="1"/>
  <c r="E157" i="30"/>
  <c r="F124" i="22" s="1"/>
  <c r="D157" i="30"/>
  <c r="C157" i="30"/>
  <c r="D124" i="22" s="1"/>
  <c r="F148" i="30"/>
  <c r="G123" i="22" s="1"/>
  <c r="E148" i="30"/>
  <c r="F123" i="22" s="1"/>
  <c r="D148" i="30"/>
  <c r="C148" i="30"/>
  <c r="D123" i="22" s="1"/>
  <c r="G139" i="30"/>
  <c r="H122" i="22" s="1"/>
  <c r="F139" i="30"/>
  <c r="G122" i="22" s="1"/>
  <c r="E139" i="30"/>
  <c r="D139" i="30"/>
  <c r="E122" i="22" s="1"/>
  <c r="C139" i="30"/>
  <c r="D122" i="22" s="1"/>
  <c r="G130" i="30"/>
  <c r="F130" i="30"/>
  <c r="E130" i="30"/>
  <c r="F121" i="22" s="1"/>
  <c r="D130" i="30"/>
  <c r="E121" i="22" s="1"/>
  <c r="C130" i="30"/>
  <c r="G121" i="30"/>
  <c r="H120" i="22" s="1"/>
  <c r="G112" i="30"/>
  <c r="H119" i="22" s="1"/>
  <c r="G103" i="30"/>
  <c r="F103" i="30"/>
  <c r="E103" i="30"/>
  <c r="F118" i="22" s="1"/>
  <c r="D103" i="30"/>
  <c r="E118" i="22" s="1"/>
  <c r="C103" i="30"/>
  <c r="D118" i="22" s="1"/>
  <c r="G94" i="30"/>
  <c r="H117" i="22" s="1"/>
  <c r="F94" i="30"/>
  <c r="G117" i="22" s="1"/>
  <c r="E94" i="30"/>
  <c r="F117" i="22" s="1"/>
  <c r="D94" i="30"/>
  <c r="E117" i="22" s="1"/>
  <c r="C94" i="30"/>
  <c r="D117" i="22" s="1"/>
  <c r="F85" i="30"/>
  <c r="G116" i="22"/>
  <c r="E85" i="30"/>
  <c r="F116" i="22" s="1"/>
  <c r="D85" i="30"/>
  <c r="C85" i="30"/>
  <c r="D116" i="22" s="1"/>
  <c r="G76" i="30"/>
  <c r="F76" i="30"/>
  <c r="G115" i="22" s="1"/>
  <c r="E76" i="30"/>
  <c r="F115" i="22" s="1"/>
  <c r="D76" i="30"/>
  <c r="E115" i="22" s="1"/>
  <c r="C76" i="30"/>
  <c r="D115" i="22" s="1"/>
  <c r="F67" i="30"/>
  <c r="G114" i="22" s="1"/>
  <c r="E67" i="30"/>
  <c r="F114" i="22" s="1"/>
  <c r="D67" i="30"/>
  <c r="E114" i="22" s="1"/>
  <c r="C67" i="30"/>
  <c r="D114" i="22" s="1"/>
  <c r="F57" i="30"/>
  <c r="G112" i="22" s="1"/>
  <c r="E57" i="30"/>
  <c r="F112" i="22" s="1"/>
  <c r="D57" i="30"/>
  <c r="E112" i="22" s="1"/>
  <c r="C57" i="30"/>
  <c r="D112" i="22" s="1"/>
  <c r="M6" i="30"/>
  <c r="N6" i="30" s="1"/>
  <c r="M8" i="30"/>
  <c r="N8" i="30" s="1"/>
  <c r="L9" i="30"/>
  <c r="M9" i="30"/>
  <c r="L11" i="30"/>
  <c r="M11" i="30"/>
  <c r="L13" i="30"/>
  <c r="M13" i="30"/>
  <c r="L15" i="30"/>
  <c r="M15" i="30"/>
  <c r="L20" i="30"/>
  <c r="N20" i="30" s="1"/>
  <c r="M20" i="30"/>
  <c r="L25" i="30"/>
  <c r="M25" i="30"/>
  <c r="N25" i="30" s="1"/>
  <c r="M30" i="30"/>
  <c r="N30" i="30" s="1"/>
  <c r="M39" i="30"/>
  <c r="N39" i="30" s="1"/>
  <c r="L218" i="30"/>
  <c r="M218" i="30"/>
  <c r="G128" i="22"/>
  <c r="G127" i="22"/>
  <c r="D127" i="22"/>
  <c r="H126" i="22"/>
  <c r="E124" i="22"/>
  <c r="E123" i="22"/>
  <c r="F122" i="22"/>
  <c r="H121" i="22"/>
  <c r="G121" i="22"/>
  <c r="D121" i="22"/>
  <c r="H118" i="22"/>
  <c r="G118" i="22"/>
  <c r="E116" i="22"/>
  <c r="C128" i="22"/>
  <c r="C123" i="22"/>
  <c r="C115" i="22"/>
  <c r="M95" i="32"/>
  <c r="L43" i="22"/>
  <c r="L95" i="32"/>
  <c r="K43" i="22"/>
  <c r="K95" i="32"/>
  <c r="J43" i="22"/>
  <c r="G95" i="32"/>
  <c r="G43" i="22"/>
  <c r="F95" i="32"/>
  <c r="F43" i="22"/>
  <c r="E95" i="32"/>
  <c r="E43" i="22"/>
  <c r="D95" i="32"/>
  <c r="D43" i="22"/>
  <c r="I42" i="22"/>
  <c r="D42" i="22"/>
  <c r="C43" i="22"/>
  <c r="C42" i="22"/>
  <c r="C41" i="22"/>
  <c r="C40" i="22"/>
  <c r="E17" i="32"/>
  <c r="D80" i="32"/>
  <c r="D39" i="22" s="1"/>
  <c r="C39" i="22"/>
  <c r="D74" i="32"/>
  <c r="D38" i="22"/>
  <c r="C38" i="22"/>
  <c r="C37" i="22"/>
  <c r="M230" i="30"/>
  <c r="N230" i="30" s="1"/>
  <c r="L221" i="30"/>
  <c r="M221" i="30"/>
  <c r="N221" i="30" s="1"/>
  <c r="L216" i="30"/>
  <c r="M216" i="30"/>
  <c r="M215" i="30"/>
  <c r="N215" i="30" s="1"/>
  <c r="M214" i="30"/>
  <c r="N214" i="30" s="1"/>
  <c r="L217" i="30"/>
  <c r="M217" i="30"/>
  <c r="L219" i="30"/>
  <c r="M219" i="30"/>
  <c r="L220" i="30"/>
  <c r="M220" i="30"/>
  <c r="M89" i="32"/>
  <c r="L89" i="32"/>
  <c r="K89" i="32"/>
  <c r="G89" i="32"/>
  <c r="F89" i="32"/>
  <c r="E89" i="32"/>
  <c r="F17" i="32"/>
  <c r="D156" i="28"/>
  <c r="D109" i="28"/>
  <c r="C98" i="20"/>
  <c r="AH16" i="31"/>
  <c r="AH26" i="31" s="1"/>
  <c r="AG16" i="31"/>
  <c r="AF16" i="31"/>
  <c r="AF26" i="31" s="1"/>
  <c r="AE16" i="31"/>
  <c r="AD16" i="31"/>
  <c r="AD26" i="31" s="1"/>
  <c r="AC16" i="31"/>
  <c r="AB16" i="31"/>
  <c r="AB26" i="31" s="1"/>
  <c r="AA16" i="31"/>
  <c r="Z16" i="31"/>
  <c r="Z26" i="31" s="1"/>
  <c r="Y16" i="31"/>
  <c r="X16" i="31"/>
  <c r="X26" i="31" s="1"/>
  <c r="W16" i="31"/>
  <c r="V16" i="31"/>
  <c r="V26" i="31" s="1"/>
  <c r="U16" i="31"/>
  <c r="T16" i="31"/>
  <c r="T26" i="31" s="1"/>
  <c r="S16" i="31"/>
  <c r="R16" i="31"/>
  <c r="R26" i="31" s="1"/>
  <c r="Q16" i="31"/>
  <c r="P16" i="31"/>
  <c r="P26" i="31" s="1"/>
  <c r="O16" i="31"/>
  <c r="N16" i="31"/>
  <c r="N26" i="31" s="1"/>
  <c r="M16" i="31"/>
  <c r="L16" i="31"/>
  <c r="L26" i="31" s="1"/>
  <c r="K16" i="31"/>
  <c r="J16" i="31"/>
  <c r="J26" i="31" s="1"/>
  <c r="I16" i="31"/>
  <c r="H16" i="31"/>
  <c r="H26" i="31" s="1"/>
  <c r="G16" i="31"/>
  <c r="F16" i="31"/>
  <c r="F26" i="31" s="1"/>
  <c r="E16" i="31"/>
  <c r="AH22" i="31"/>
  <c r="AF22" i="31"/>
  <c r="AD22" i="31"/>
  <c r="AB22" i="31"/>
  <c r="Z22" i="31"/>
  <c r="X22" i="31"/>
  <c r="V22" i="31"/>
  <c r="T22" i="31"/>
  <c r="R22" i="31"/>
  <c r="P22" i="31"/>
  <c r="N22" i="31"/>
  <c r="L22" i="31"/>
  <c r="J22" i="31"/>
  <c r="H22" i="31"/>
  <c r="F22" i="31"/>
  <c r="AH18" i="31"/>
  <c r="AF18" i="31"/>
  <c r="AD18" i="31"/>
  <c r="AB18" i="31"/>
  <c r="Z18" i="31"/>
  <c r="X18" i="31"/>
  <c r="V18" i="31"/>
  <c r="T18" i="31"/>
  <c r="R18" i="31"/>
  <c r="P18" i="31"/>
  <c r="N18" i="31"/>
  <c r="L18" i="31"/>
  <c r="J18" i="31"/>
  <c r="H18" i="31"/>
  <c r="F18" i="31"/>
  <c r="C97" i="20"/>
  <c r="C92" i="20"/>
  <c r="B93" i="20"/>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C93" i="20"/>
  <c r="C94" i="20"/>
  <c r="C95" i="20"/>
  <c r="C96" i="20"/>
  <c r="C1" i="1"/>
  <c r="L24" i="32"/>
  <c r="K29" i="22" s="1"/>
  <c r="J93" i="32"/>
  <c r="I41" i="22" s="1"/>
  <c r="J74" i="32"/>
  <c r="I38" i="22" s="1"/>
  <c r="L112" i="32"/>
  <c r="J112" i="32"/>
  <c r="H37" i="32"/>
  <c r="F34" i="22" s="1"/>
  <c r="K28" i="32"/>
  <c r="J33" i="22" s="1"/>
  <c r="E28" i="32"/>
  <c r="E33" i="22" s="1"/>
  <c r="E242" i="8"/>
  <c r="G24" i="32"/>
  <c r="G29" i="22"/>
  <c r="M24" i="32"/>
  <c r="L29" i="22"/>
  <c r="D44" i="8"/>
  <c r="D45" i="8" s="1"/>
  <c r="H45" i="8" s="1"/>
  <c r="D41" i="8"/>
  <c r="D42" i="8" s="1"/>
  <c r="D33" i="8"/>
  <c r="D34" i="8" s="1"/>
  <c r="E246" i="8"/>
  <c r="F246" i="8" s="1"/>
  <c r="H246" i="8" s="1"/>
  <c r="H247" i="8" s="1"/>
  <c r="H250" i="8" s="1"/>
  <c r="J80" i="32"/>
  <c r="I39" i="22" s="1"/>
  <c r="J142" i="32"/>
  <c r="J139" i="32" s="1"/>
  <c r="J135" i="32"/>
  <c r="I46" i="22"/>
  <c r="H34" i="8" l="1"/>
  <c r="N11" i="30"/>
  <c r="N74" i="30"/>
  <c r="P74" i="30" s="1"/>
  <c r="N204" i="30" s="1"/>
  <c r="N100" i="30"/>
  <c r="P100" i="30" s="1"/>
  <c r="N102" i="30"/>
  <c r="P102" i="30" s="1"/>
  <c r="N134" i="30"/>
  <c r="P134" i="30" s="1"/>
  <c r="N138" i="30"/>
  <c r="P138" i="30" s="1"/>
  <c r="N216" i="30"/>
  <c r="N87" i="30"/>
  <c r="P87" i="30" s="1"/>
  <c r="N99" i="30"/>
  <c r="P99" i="30" s="1"/>
  <c r="N156" i="30"/>
  <c r="P156" i="30" s="1"/>
  <c r="N69" i="30"/>
  <c r="P69" i="30" s="1"/>
  <c r="N90" i="30"/>
  <c r="P90" i="30" s="1"/>
  <c r="H32" i="8"/>
  <c r="H266" i="8"/>
  <c r="H269" i="8" s="1"/>
  <c r="D323" i="8" s="1"/>
  <c r="H323" i="8" s="1"/>
  <c r="H19" i="8"/>
  <c r="H43" i="8"/>
  <c r="H72" i="8"/>
  <c r="H74" i="8" s="1"/>
  <c r="N136" i="30"/>
  <c r="P136" i="30" s="1"/>
  <c r="N154" i="30"/>
  <c r="P154" i="30" s="1"/>
  <c r="N127" i="30"/>
  <c r="P127" i="30" s="1"/>
  <c r="N137" i="30"/>
  <c r="P137" i="30" s="1"/>
  <c r="N98" i="30"/>
  <c r="P98" i="30" s="1"/>
  <c r="F124" i="1"/>
  <c r="C124" i="1"/>
  <c r="C43" i="1"/>
  <c r="C212" i="1"/>
  <c r="D17" i="22" s="1"/>
  <c r="C145" i="1"/>
  <c r="C161" i="1" s="1"/>
  <c r="D145" i="1"/>
  <c r="D162" i="1" s="1"/>
  <c r="D138" i="1" s="1"/>
  <c r="E8" i="22" s="1"/>
  <c r="C51" i="1"/>
  <c r="N220" i="30"/>
  <c r="N217" i="30"/>
  <c r="N13" i="30"/>
  <c r="N75" i="30"/>
  <c r="P75" i="30" s="1"/>
  <c r="N93" i="30"/>
  <c r="P93" i="30" s="1"/>
  <c r="N132" i="30"/>
  <c r="P132" i="30" s="1"/>
  <c r="N9" i="30"/>
  <c r="N41" i="30" s="1"/>
  <c r="N219" i="30"/>
  <c r="N218" i="30"/>
  <c r="N96" i="30"/>
  <c r="P96" i="30" s="1"/>
  <c r="N123" i="30"/>
  <c r="P123" i="30" s="1"/>
  <c r="N125" i="30"/>
  <c r="P125" i="30" s="1"/>
  <c r="N128" i="30"/>
  <c r="P128" i="30" s="1"/>
  <c r="N135" i="30"/>
  <c r="P135" i="30" s="1"/>
  <c r="N101" i="30"/>
  <c r="P101" i="30" s="1"/>
  <c r="N129" i="30"/>
  <c r="P129" i="30" s="1"/>
  <c r="H42" i="8"/>
  <c r="H46" i="8" s="1"/>
  <c r="D46" i="8"/>
  <c r="I31" i="31"/>
  <c r="G18" i="31"/>
  <c r="G26" i="31"/>
  <c r="G22" i="31"/>
  <c r="K18" i="31"/>
  <c r="K26" i="31"/>
  <c r="K22" i="31"/>
  <c r="O18" i="31"/>
  <c r="O26" i="31"/>
  <c r="O22" i="31"/>
  <c r="S18" i="31"/>
  <c r="S26" i="31"/>
  <c r="S22" i="31"/>
  <c r="W18" i="31"/>
  <c r="W26" i="31"/>
  <c r="W22" i="31"/>
  <c r="AA18" i="31"/>
  <c r="AA26" i="31"/>
  <c r="AA22" i="31"/>
  <c r="AE18" i="31"/>
  <c r="AE26" i="31"/>
  <c r="AE22" i="31"/>
  <c r="M30" i="31"/>
  <c r="O31" i="31"/>
  <c r="E30" i="31"/>
  <c r="D29" i="31"/>
  <c r="L31" i="31"/>
  <c r="E22" i="31"/>
  <c r="E26" i="31"/>
  <c r="E18" i="31"/>
  <c r="I22" i="31"/>
  <c r="I26" i="31"/>
  <c r="I18" i="31"/>
  <c r="M22" i="31"/>
  <c r="M26" i="31"/>
  <c r="M18" i="31"/>
  <c r="Q22" i="31"/>
  <c r="Q26" i="31"/>
  <c r="Q18" i="31"/>
  <c r="U22" i="31"/>
  <c r="U26" i="31"/>
  <c r="U18" i="31"/>
  <c r="Y22" i="31"/>
  <c r="Y26" i="31"/>
  <c r="Y18" i="31"/>
  <c r="AC22" i="31"/>
  <c r="AC26" i="31"/>
  <c r="AC18" i="31"/>
  <c r="AG22" i="31"/>
  <c r="AG26" i="31"/>
  <c r="AG18" i="31"/>
  <c r="N15" i="30"/>
  <c r="G31" i="31"/>
  <c r="L30" i="31"/>
  <c r="M31" i="31"/>
  <c r="H30" i="31"/>
  <c r="H31" i="31" s="1"/>
  <c r="D45" i="1"/>
  <c r="D53" i="28"/>
  <c r="F30" i="31"/>
  <c r="F31" i="31" s="1"/>
  <c r="I30" i="31"/>
  <c r="K31" i="31"/>
  <c r="P30" i="31"/>
  <c r="P31" i="31" s="1"/>
  <c r="Q31" i="31"/>
  <c r="R30" i="31"/>
  <c r="R31" i="31" s="1"/>
  <c r="S31" i="31"/>
  <c r="T30" i="31"/>
  <c r="T31" i="31" s="1"/>
  <c r="U31" i="31"/>
  <c r="V30" i="31"/>
  <c r="V31" i="31" s="1"/>
  <c r="W31" i="31"/>
  <c r="X30" i="31"/>
  <c r="X31" i="31" s="1"/>
  <c r="Y31" i="31"/>
  <c r="Z30" i="31"/>
  <c r="Z31" i="31" s="1"/>
  <c r="AA31" i="31"/>
  <c r="AB30" i="31"/>
  <c r="AB31" i="31" s="1"/>
  <c r="AC31" i="31"/>
  <c r="AD30" i="31"/>
  <c r="AD31" i="31" s="1"/>
  <c r="AE31" i="31"/>
  <c r="AF30" i="31"/>
  <c r="AF31" i="31" s="1"/>
  <c r="AG31" i="31"/>
  <c r="AH30" i="31"/>
  <c r="AH31" i="31" s="1"/>
  <c r="D197" i="28"/>
  <c r="D198" i="28"/>
  <c r="D196" i="28"/>
  <c r="H318" i="8"/>
  <c r="H322" i="8" s="1"/>
  <c r="H52" i="8" l="1"/>
  <c r="H77" i="8" s="1"/>
  <c r="H440" i="8" s="1"/>
  <c r="H21" i="8"/>
  <c r="H48" i="8" s="1"/>
  <c r="H49" i="8" s="1"/>
  <c r="D152" i="1"/>
  <c r="E13" i="22" s="1"/>
  <c r="D156" i="1"/>
  <c r="E14" i="22" s="1"/>
  <c r="D161" i="1"/>
  <c r="C244" i="1"/>
  <c r="C249" i="1" s="1"/>
  <c r="D133" i="1"/>
  <c r="E7" i="22" s="1"/>
  <c r="D148" i="1"/>
  <c r="E12" i="22" s="1"/>
  <c r="D141" i="1"/>
  <c r="E10" i="22" s="1"/>
  <c r="H324" i="8"/>
  <c r="H441" i="8" s="1"/>
  <c r="D54" i="28"/>
  <c r="D55" i="28" s="1"/>
  <c r="D201" i="28"/>
  <c r="D84" i="28"/>
  <c r="D203" i="28"/>
  <c r="D194" i="28"/>
  <c r="D195" i="28" s="1"/>
  <c r="D30" i="31"/>
  <c r="D71" i="28"/>
  <c r="D202" i="28"/>
  <c r="E31" i="31"/>
  <c r="D31" i="31" s="1"/>
  <c r="H442" i="8" l="1"/>
  <c r="N208" i="30"/>
  <c r="C250" i="1"/>
  <c r="C251" i="1"/>
  <c r="D237" i="28"/>
  <c r="D238" i="28" s="1"/>
  <c r="D222" i="28"/>
  <c r="D223" i="28" s="1"/>
  <c r="D232" i="28"/>
  <c r="D233" i="28" s="1"/>
  <c r="D85" i="28"/>
  <c r="D72" i="28" s="1"/>
  <c r="D73" i="28" s="1"/>
  <c r="D74" i="28" l="1"/>
  <c r="D60" i="28" s="1"/>
  <c r="D57" i="28"/>
  <c r="D242" i="28"/>
  <c r="D56" i="28"/>
  <c r="D241" i="28"/>
  <c r="D58" i="28"/>
  <c r="D243" i="28"/>
  <c r="D244" i="28" l="1"/>
  <c r="D59" i="28"/>
  <c r="D61" i="28" s="1"/>
  <c r="D245" i="28" l="1"/>
  <c r="D62" i="28" s="1"/>
  <c r="D250" i="28"/>
  <c r="D249" i="28"/>
  <c r="D248" i="28"/>
  <c r="D125" i="32" l="1"/>
  <c r="D251" i="28"/>
  <c r="D17" i="28" s="1"/>
  <c r="D24" i="28" s="1"/>
  <c r="D63" i="28"/>
  <c r="D67" i="28" l="1"/>
  <c r="D70" i="28" s="1"/>
  <c r="D75" i="28" s="1"/>
  <c r="D44" i="1"/>
  <c r="D57" i="1"/>
  <c r="D243" i="1"/>
  <c r="D244" i="1" s="1"/>
  <c r="D249" i="1" l="1"/>
  <c r="D46" i="1"/>
  <c r="D47" i="1"/>
  <c r="D49" i="1" s="1"/>
  <c r="D123" i="32"/>
  <c r="D129" i="32" s="1"/>
  <c r="J123" i="32"/>
  <c r="J129" i="32" s="1"/>
  <c r="D79" i="28"/>
  <c r="D83" i="28" s="1"/>
  <c r="D86" i="28" s="1"/>
  <c r="D52" i="1" s="1"/>
  <c r="D54" i="1" s="1"/>
  <c r="D51" i="1" l="1"/>
  <c r="D43" i="1"/>
  <c r="D251" i="1" s="1"/>
  <c r="G7" i="30" l="1"/>
  <c r="H98" i="22" s="1"/>
  <c r="D250" i="1"/>
</calcChain>
</file>

<file path=xl/sharedStrings.xml><?xml version="1.0" encoding="utf-8"?>
<sst xmlns="http://schemas.openxmlformats.org/spreadsheetml/2006/main" count="2054" uniqueCount="1123">
  <si>
    <t>Loss of funding on covered bonds issued by the bank</t>
  </si>
  <si>
    <t>Undrawn committed credit and liquidity facilities to retail and small business customers</t>
  </si>
  <si>
    <t>Undrawn committed credit facilities to</t>
  </si>
  <si>
    <t>sovereigns, central banks, PSEs and MDBs</t>
  </si>
  <si>
    <t>Undrawn committed liquidity facilities to</t>
  </si>
  <si>
    <t>Other contractual obligations to extend funds to</t>
  </si>
  <si>
    <t>roll-over of inflows</t>
  </si>
  <si>
    <t>excess outflows</t>
  </si>
  <si>
    <t>small business customers</t>
  </si>
  <si>
    <t>other clients</t>
  </si>
  <si>
    <t>Total contractual obligations to extend funds in excess of 50% roll-over assumption</t>
  </si>
  <si>
    <t xml:space="preserve">Non-contractual obligations: </t>
  </si>
  <si>
    <t>Debt-buy back requests (incl. related conduits)</t>
  </si>
  <si>
    <t>Structured products</t>
  </si>
  <si>
    <t>Other non-contractual obligations</t>
  </si>
  <si>
    <t>Outstanding debt securities with remaining maturity &gt; 30 days</t>
  </si>
  <si>
    <t>Amount extended</t>
  </si>
  <si>
    <t>Market value of received colllateral</t>
  </si>
  <si>
    <t>Reverse repo and other secured lending or securities borrowing transactions maturing ≤ 30 days</t>
  </si>
  <si>
    <t>Total inflows on reverse repo and securities borrowing transactions</t>
  </si>
  <si>
    <t>Retail customers</t>
  </si>
  <si>
    <t>Small business customers</t>
  </si>
  <si>
    <t>B) National discretion items LCR</t>
  </si>
  <si>
    <r>
      <t xml:space="preserve">Option 1 </t>
    </r>
    <r>
      <rPr>
        <sz val="10"/>
        <rFont val="Arial"/>
        <family val="2"/>
      </rPr>
      <t>–</t>
    </r>
    <r>
      <rPr>
        <sz val="10"/>
        <rFont val="Arial"/>
        <family val="2"/>
      </rPr>
      <t xml:space="preserve"> Contractual committed liquidity facilities from the relevant central bank</t>
    </r>
  </si>
  <si>
    <t>Option 3 – Additional use of Level 2 assets at a higher haircut</t>
  </si>
  <si>
    <t>Option 1 – Contractual committed liquidity facilities from the relevant central bank</t>
  </si>
  <si>
    <t>Additional Tier 1</t>
  </si>
  <si>
    <t>Basel 2.5/III standardised approach</t>
  </si>
  <si>
    <t>Basel 2.5/III IRB approaches</t>
  </si>
  <si>
    <t>Bank type numeric</t>
  </si>
  <si>
    <t>Without supervisory run-off rate</t>
  </si>
  <si>
    <t>Transactions backed by Level 1 assets</t>
  </si>
  <si>
    <t>Transactions backed by other collateral</t>
  </si>
  <si>
    <t>a) Retail deposit run-off</t>
  </si>
  <si>
    <t>Retail deposit run-off weight</t>
  </si>
  <si>
    <t>Unsecured wholesale funding run-off weight</t>
  </si>
  <si>
    <t>Fixed-term deposits (treated as having &gt;30 day remaining maturity), with a supervisory run-off rate</t>
  </si>
  <si>
    <t>Allow treatment for jurisdictions with insufficient liquid assets</t>
  </si>
  <si>
    <t>CET1 (Basel II/III banks: before application of the transitional floor)</t>
  </si>
  <si>
    <t>Tier 1 (Basel II/III banks: before application of the transitional floor)</t>
  </si>
  <si>
    <t>Accounting</t>
  </si>
  <si>
    <t>IFRS</t>
  </si>
  <si>
    <t>US GAAP</t>
  </si>
  <si>
    <t>Other national accounting standard</t>
  </si>
  <si>
    <t>Partial use (if not assigned to a portfolio)</t>
  </si>
  <si>
    <t>Non-financial corporates</t>
  </si>
  <si>
    <t>Financial institutions, of which</t>
  </si>
  <si>
    <t>deposits at the centralised institution of an institutional network that receive 25% run-off</t>
  </si>
  <si>
    <t>Other entities</t>
  </si>
  <si>
    <t>Total of other inflows by counterparty</t>
  </si>
  <si>
    <t>Other cash inflows</t>
  </si>
  <si>
    <t>Contractual inflows from securities maturing ≤ 30 days, not included anywhere above</t>
  </si>
  <si>
    <t>Other contractual cash inflows</t>
  </si>
  <si>
    <t xml:space="preserve">Total cash inflows before applying the cap </t>
  </si>
  <si>
    <t xml:space="preserve">Cap on cash inflows </t>
  </si>
  <si>
    <t>Total cash inflows after applying the cap</t>
  </si>
  <si>
    <t>Standardised measurement method, general interest rate and equity position risk</t>
  </si>
  <si>
    <t>Standardised measurement method, specific interest rate and equity position risk; of which:</t>
  </si>
  <si>
    <t>Standardised measurement method, foreign exchange and commodities risk</t>
  </si>
  <si>
    <t>Net cash outflows</t>
  </si>
  <si>
    <t>a) Level 1 assets</t>
  </si>
  <si>
    <t>B) Net cash outflows</t>
  </si>
  <si>
    <t>b) Unsecured wholesale funding run-off</t>
  </si>
  <si>
    <t>c) Secured funding run-off</t>
  </si>
  <si>
    <t>retail, small business customers, non-financials and other clients</t>
  </si>
  <si>
    <t>Total additional requirements run-off</t>
  </si>
  <si>
    <t>Total cash outlfows</t>
  </si>
  <si>
    <t>b) Other inflows by counterparty</t>
  </si>
  <si>
    <t>c) Other cash inflows</t>
  </si>
  <si>
    <t>Total of other cash inflows</t>
  </si>
  <si>
    <t>NSFR</t>
  </si>
  <si>
    <t>Associated deferred tax liability which would be extinguished if the intangible becomes impaired or derecognised under the relevant accounting standards</t>
  </si>
  <si>
    <t>For portfolios subject to Basel I</t>
  </si>
  <si>
    <t>For own shares which the group could be contractually obliged to purchase, the total potential purchase cost</t>
  </si>
  <si>
    <t>For other collateral (ie all non-Level 1 collateral)</t>
  </si>
  <si>
    <t>Total value of deferred tax assets which do not rely on the future profitability of the bank to be realised (gross amount)</t>
  </si>
  <si>
    <t>Other</t>
  </si>
  <si>
    <t>Total gross value of goodwill</t>
  </si>
  <si>
    <r>
      <t>Retained earnings</t>
    </r>
    <r>
      <rPr>
        <sz val="10"/>
        <rFont val="Arial"/>
        <family val="2"/>
      </rPr>
      <t xml:space="preserve">
This should be the full amount prior to the application of all regulatory adjustments</t>
    </r>
  </si>
  <si>
    <t>Goodwill</t>
  </si>
  <si>
    <t>For standardised approach portfolios</t>
  </si>
  <si>
    <t>General information</t>
  </si>
  <si>
    <t>Defined benefit pension fund assets</t>
  </si>
  <si>
    <t>Panel</t>
  </si>
  <si>
    <t>Check</t>
  </si>
  <si>
    <t>C) Regulatory adjustments</t>
  </si>
  <si>
    <t>1) Goodwill</t>
  </si>
  <si>
    <t>2) Intangibles (excluding goodwill and mortgage servicing rights only)</t>
  </si>
  <si>
    <t>Level of the floor according to the national implementation</t>
  </si>
  <si>
    <t>Securitisation gain on sale (expected future margin income) as set out in paragraph 562 of the Basel II framework</t>
  </si>
  <si>
    <t>Associated deferred tax liability which would be extinguished if the goodwill becomes impaired or derecognised under the relevant accounting standards</t>
  </si>
  <si>
    <t>Incremental risk capital charge</t>
  </si>
  <si>
    <t>Correlation trading portfolio</t>
  </si>
  <si>
    <t>Reporting date</t>
  </si>
  <si>
    <t>CET1</t>
  </si>
  <si>
    <t>Tier 2</t>
  </si>
  <si>
    <t>paid in amount plus related reserves/retained earnings owned by group gross of all deductions</t>
  </si>
  <si>
    <t>paid in amount plus related reserves/retained earnings owned by third parties gross of all deductions</t>
  </si>
  <si>
    <t>Public sector entities (PSEs); of which:</t>
  </si>
  <si>
    <t>Non-financial; of which:</t>
  </si>
  <si>
    <t>Bank type (numeric)</t>
  </si>
  <si>
    <t>Other exposures (eg equity and other non-credit obligation assets); of which:</t>
  </si>
  <si>
    <t>Securitisation exposures</t>
  </si>
  <si>
    <t>Check: Securitisation exposures should be lower than total other exposures</t>
  </si>
  <si>
    <t>Common share dividends</t>
  </si>
  <si>
    <t>15) Aggregate of items subject to the 15% limit (significant investments in financial institutions, mortgage servicing rights and DTAs that arise from temporary differences)</t>
  </si>
  <si>
    <t>D) Capital issued out of subsidiaries to third parties (paragraphs 62-65)</t>
  </si>
  <si>
    <t>2) Tier 1 capital</t>
  </si>
  <si>
    <t>Own estimates</t>
  </si>
  <si>
    <t>Repo VaR</t>
  </si>
  <si>
    <t>CCR SFT</t>
  </si>
  <si>
    <t>3) Deferred tax assets</t>
  </si>
  <si>
    <t>Amount to be subject to the threshold for deduction</t>
  </si>
  <si>
    <t>5) Reciprocal cross holdings in the capital of banking, financial and insurance entities that are outside the scope of regulatory consolidation</t>
  </si>
  <si>
    <t>6) Provisions and expected losses</t>
  </si>
  <si>
    <t>Holdings of common stock that are part of a reciprocal cross holding arrangement</t>
  </si>
  <si>
    <t>Cumulative gains and losses due to changes in own credit risk on fair valued liabilities</t>
  </si>
  <si>
    <t>Investments in the capital of financial entities where the bank does not own more than 10% of the issued common share capital (amount above the 10% threshold)</t>
  </si>
  <si>
    <t>Total (Basel II/III banks: before application of the transitional floor)</t>
  </si>
  <si>
    <t>Significant investments in the common stock of financial entities (amount above 10% threshold)</t>
  </si>
  <si>
    <r>
      <t xml:space="preserve">Standardised measurement method for exposures </t>
    </r>
    <r>
      <rPr>
        <b/>
        <sz val="10"/>
        <rFont val="Arial"/>
        <family val="2"/>
      </rPr>
      <t>not</t>
    </r>
    <r>
      <rPr>
        <sz val="10"/>
        <rFont val="Arial"/>
        <family val="2"/>
      </rPr>
      <t xml:space="preserve"> subject to the CRM</t>
    </r>
  </si>
  <si>
    <t>Standardised measurement method for other securitisation exposures and n-th-to-default credit derivatives</t>
  </si>
  <si>
    <r>
      <t xml:space="preserve">Standardised measurement method (100%) for exposures </t>
    </r>
    <r>
      <rPr>
        <b/>
        <sz val="10"/>
        <rFont val="Arial"/>
        <family val="2"/>
      </rPr>
      <t>subject to</t>
    </r>
    <r>
      <rPr>
        <sz val="10"/>
        <rFont val="Arial"/>
        <family val="2"/>
      </rPr>
      <t xml:space="preserve"> the CRM</t>
    </r>
  </si>
  <si>
    <t>8) Cumulative gains and losses due to changes in own credit risk on fair valued liabilities</t>
  </si>
  <si>
    <t>d) Additional requirements</t>
  </si>
  <si>
    <t>Total Common Equity Tier 1 capital</t>
  </si>
  <si>
    <t>Additional Tier 1 capital</t>
  </si>
  <si>
    <t>Tier 2 capital</t>
  </si>
  <si>
    <t>Tier 3 capital</t>
  </si>
  <si>
    <t>Tier 1 capital</t>
  </si>
  <si>
    <t>Total Common Equity Tier 1 capital after the regulatory adjustments above</t>
  </si>
  <si>
    <t xml:space="preserve">Total Common Equity Tier 1 capital after the regulatory adjustments above </t>
  </si>
  <si>
    <t>Total common equity Tier 1 capital</t>
  </si>
  <si>
    <t>Total Tier 1 capital prior to regulatory adjustments</t>
  </si>
  <si>
    <t>Total regulatory adjustments to Additional Tier 1 capital; of which</t>
  </si>
  <si>
    <t>Total capital prior to regulatory adjustments</t>
  </si>
  <si>
    <t>DefCapB3</t>
  </si>
  <si>
    <t>DefCapB3-MI</t>
  </si>
  <si>
    <t>Leverage Ratio</t>
  </si>
  <si>
    <t>Basel III definition of capital minority interest calculation</t>
  </si>
  <si>
    <t>Total minority interest given recognition in Common Equity Tier 1 capital (sum of relevant output of DefCapB3-MI worksheet after application to every subsidary that has issued capital held by third parties)</t>
  </si>
  <si>
    <t>Instruments that meet the Additional Tier 1 criteria issued by subsidiaries to third parties that are given recognition in group Additional Tier 1 capital (sum of relevant output of DefCapB3-MI worksheet after application to every subsidary that has issued capital held by third parties)</t>
  </si>
  <si>
    <t>Conversion rate (in euros/reporting currency)</t>
  </si>
  <si>
    <t>Instruments that meet the Tier 2 criteria issued by subsidiaries to third parties that are given recogntion in Tier 2 capital (sum of relevant output of DefCapB3-MI worksheet after application to every subsidary that has issued capital held by third parties)</t>
  </si>
  <si>
    <t>Impact on RWA due to Basel II 50:50 deductions; of which</t>
  </si>
  <si>
    <t>gains and losses resulting from converting foreign currency subsidiaries to the parent currency (if applicable)</t>
  </si>
  <si>
    <t>Direct investments in own shares, net of any short positions if the short positions involve no counterparty risk</t>
  </si>
  <si>
    <t>financial institutions</t>
  </si>
  <si>
    <t>Yes/No/NA</t>
  </si>
  <si>
    <t>3) Total capital</t>
  </si>
  <si>
    <t>ASF 
Factor &lt;1yr</t>
  </si>
  <si>
    <t>ASF 
Factor ≥1 year</t>
  </si>
  <si>
    <t>Calculated ASF &lt;1yr</t>
  </si>
  <si>
    <t>Calculated ASF ≥1 year</t>
  </si>
  <si>
    <t>Calculated Total ASF</t>
  </si>
  <si>
    <t>&lt; 3 months</t>
  </si>
  <si>
    <t>Transactions backed by Level 1 assets; of which:</t>
  </si>
  <si>
    <t>Transactions involving eligible liquid assets – see instructions for more detail</t>
  </si>
  <si>
    <t>Level 1 assets are lent and Level 1 assets are borrowed; of which:</t>
  </si>
  <si>
    <t>Level 1 assets are lent and other assets are borrowed; of which:</t>
  </si>
  <si>
    <t>Other assets are lent and Level 1 assets are borrowed; of which:</t>
  </si>
  <si>
    <t>Involving eligible liquid assets – see instructions for more detail</t>
  </si>
  <si>
    <t>Tier 2 buyback or repayment (gross)</t>
  </si>
  <si>
    <t>B1c</t>
  </si>
  <si>
    <t>B2a</t>
  </si>
  <si>
    <t>C</t>
  </si>
  <si>
    <t>Preferred Stock not included above</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</si>
  <si>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</si>
  <si>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</si>
  <si>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</si>
  <si>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</si>
  <si>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See FN 32</t>
  </si>
  <si>
    <t>Net derivatives payables</t>
  </si>
  <si>
    <t>All other liabilities and equity categories not included above</t>
  </si>
  <si>
    <t>Total ASF</t>
  </si>
  <si>
    <t>RWA from stressed VaR component for ACVA</t>
  </si>
  <si>
    <t>RWA from VaR component for ACVA</t>
  </si>
  <si>
    <t>Number of ACVA counterparts that have actively traded credit spreads (ie liquid CDS)</t>
  </si>
  <si>
    <t>A) Available stable funding</t>
  </si>
  <si>
    <t>Additional risk-weighted assets to adjust for the transitional floor</t>
  </si>
  <si>
    <t>Significant investments in commercial entities</t>
  </si>
  <si>
    <t>Securitisations</t>
  </si>
  <si>
    <t>Purchased receivables</t>
  </si>
  <si>
    <t>Related entities</t>
  </si>
  <si>
    <t>Funds/collective investment schemes</t>
  </si>
  <si>
    <t>Other assets</t>
  </si>
  <si>
    <t>Gross holdings of common stock</t>
  </si>
  <si>
    <t>13) Mortgage servicing rights</t>
  </si>
  <si>
    <t>Total mortgage servicing rights classified as intangible</t>
  </si>
  <si>
    <t>Mortgage servicing rights net of related tax liability</t>
  </si>
  <si>
    <t>Own shares</t>
  </si>
  <si>
    <t>Reporting date (yyyy-mm-dd)</t>
  </si>
  <si>
    <t>Version</t>
  </si>
  <si>
    <t>Bank type</t>
  </si>
  <si>
    <t>RWA</t>
  </si>
  <si>
    <t>Yes</t>
  </si>
  <si>
    <t>No</t>
  </si>
  <si>
    <t>Basel I</t>
  </si>
  <si>
    <t>A) Version</t>
  </si>
  <si>
    <t>Region code</t>
  </si>
  <si>
    <t>PosY</t>
  </si>
  <si>
    <t>Country code</t>
  </si>
  <si>
    <t>Bank number</t>
  </si>
  <si>
    <t>Original sheet name</t>
  </si>
  <si>
    <t>Sheet #</t>
  </si>
  <si>
    <t>Localised sheet name</t>
  </si>
  <si>
    <t>PosX</t>
  </si>
  <si>
    <t>Yes/No</t>
  </si>
  <si>
    <t>Parameters</t>
  </si>
  <si>
    <t>Holdings of common stock net of short positions</t>
  </si>
  <si>
    <t>Capital charge</t>
  </si>
  <si>
    <t>Other Tier 1 buyback or repayment (gross)</t>
  </si>
  <si>
    <t>Accounting standard</t>
  </si>
  <si>
    <t>OpRisk</t>
  </si>
  <si>
    <t>Discretionary staff compensation/bonuses</t>
  </si>
  <si>
    <t>B) Definition of capital</t>
  </si>
  <si>
    <t>Mortgage servicing rights (amount above 10% threshold)</t>
  </si>
  <si>
    <t>Deferred tax assets arising from temporary differences (amount above 10% threshold)</t>
  </si>
  <si>
    <t>Deferred tax assets due to temporary differences</t>
  </si>
  <si>
    <r>
      <t xml:space="preserve">Net </t>
    </r>
    <r>
      <rPr>
        <b/>
        <sz val="10"/>
        <rFont val="Arial"/>
        <family val="2"/>
      </rPr>
      <t>long</t>
    </r>
    <r>
      <rPr>
        <sz val="10"/>
        <rFont val="Arial"/>
        <family val="2"/>
      </rPr>
      <t xml:space="preserve"> exposures</t>
    </r>
  </si>
  <si>
    <r>
      <t xml:space="preserve">Net </t>
    </r>
    <r>
      <rPr>
        <b/>
        <sz val="10"/>
        <rFont val="Arial"/>
        <family val="2"/>
      </rPr>
      <t>short</t>
    </r>
    <r>
      <rPr>
        <sz val="10"/>
        <rFont val="Arial"/>
        <family val="2"/>
      </rPr>
      <t xml:space="preserve"> exposures</t>
    </r>
  </si>
  <si>
    <r>
      <rPr>
        <sz val="10"/>
        <rFont val="Arial"/>
        <family val="2"/>
      </rPr>
      <t>Significant investments in the common stock of other financial entities (assuming full deduction prior to application of 10/15% thresholds)</t>
    </r>
  </si>
  <si>
    <t>Use capital data</t>
  </si>
  <si>
    <t>Use leverage ratio data</t>
  </si>
  <si>
    <t>Use liquidity data</t>
  </si>
  <si>
    <r>
      <t xml:space="preserve">Net </t>
    </r>
    <r>
      <rPr>
        <b/>
        <sz val="10"/>
        <rFont val="Arial"/>
        <family val="2"/>
      </rPr>
      <t>short</t>
    </r>
    <r>
      <rPr>
        <sz val="10"/>
        <rFont val="Arial"/>
        <family val="2"/>
      </rPr>
      <t xml:space="preserve"> exposures</t>
    </r>
    <r>
      <rPr>
        <b/>
        <sz val="10"/>
        <rFont val="Arial"/>
        <family val="2"/>
      </rPr>
      <t/>
    </r>
  </si>
  <si>
    <t>Basel III definition of capital</t>
  </si>
  <si>
    <t>Item</t>
  </si>
  <si>
    <t>1) Data for all banks</t>
  </si>
  <si>
    <t>Other intangibles (excluding goodwill and mortgage servicing rights)</t>
  </si>
  <si>
    <t>Basel III para ref</t>
  </si>
  <si>
    <t xml:space="preserve">Total group Common Equity Tier 1 capital prior to regulatory adjustments </t>
  </si>
  <si>
    <t>Goodwill, net of related deferred tax liability</t>
  </si>
  <si>
    <t>Deferred tax assets (excluding temporary differences only), net of related deferred tax liabilities</t>
  </si>
  <si>
    <r>
      <t>Investments in own share</t>
    </r>
    <r>
      <rPr>
        <sz val="10"/>
        <rFont val="Arial"/>
        <family val="2"/>
      </rPr>
      <t>s (excluding amounts already derecognised under the relevant accounting standards)</t>
    </r>
  </si>
  <si>
    <t>Regulatory adjustments to be applied to Common Equity Tier 1 due to insufficient Additional Tier 1 to cover deductions</t>
  </si>
  <si>
    <t>Regulatory adjustments to be deducted from Additional Tier 1 capital</t>
  </si>
  <si>
    <t>Total non-operational deposits; of which</t>
  </si>
  <si>
    <t>provided by other financial institutions and other legal entities</t>
  </si>
  <si>
    <t>C) Collateral swaps</t>
  </si>
  <si>
    <t>Market value of collateral lent</t>
  </si>
  <si>
    <t>Market value of collateral borrowed</t>
  </si>
  <si>
    <t>Weight outflows</t>
  </si>
  <si>
    <t>Weighted amount outflows</t>
  </si>
  <si>
    <t>Weight inflows</t>
  </si>
  <si>
    <t>Weighted amount inflows</t>
  </si>
  <si>
    <t>Level 1 assets are lent and Level 1 assets are borrowed</t>
  </si>
  <si>
    <r>
      <t>Current 10-day 99% value-at-risk (</t>
    </r>
    <r>
      <rPr>
        <b/>
        <sz val="10"/>
        <rFont val="Arial"/>
        <family val="2"/>
      </rPr>
      <t>without</t>
    </r>
    <r>
      <rPr>
        <sz val="10"/>
        <rFont val="Arial"/>
        <family val="2"/>
      </rPr>
      <t xml:space="preserve"> applying the multiplier)</t>
    </r>
  </si>
  <si>
    <r>
      <t>10-day 99% stressed value-at-risk (</t>
    </r>
    <r>
      <rPr>
        <b/>
        <sz val="10"/>
        <rFont val="Arial"/>
        <family val="2"/>
      </rPr>
      <t>without</t>
    </r>
    <r>
      <rPr>
        <sz val="10"/>
        <rFont val="Arial"/>
        <family val="2"/>
      </rPr>
      <t xml:space="preserve"> applying the multiplier)</t>
    </r>
  </si>
  <si>
    <t>CP on DVAs</t>
  </si>
  <si>
    <t>of which: total cumulative net gains and (losses) in equity due to changes in the fair value of derivatives that are due to a change in the bank's own credit risk. Amount to be deducted from (or added to if negative) Common Equity Tier 1 capital (if gain report as positive; if loss report as negative)</t>
  </si>
  <si>
    <t>Total derivative debit valuations adjustments</t>
  </si>
  <si>
    <t>Check: positive VaR at reporting date requires positive Basel 2.5 VaR</t>
  </si>
  <si>
    <t>Check: positive stressed VaR at reporting date requires positive Basel 2.5 stressed VaR</t>
  </si>
  <si>
    <t>Check: positive Basel 2.5 VaR requires positive Basel 2.5 stressed VaR and vice versa</t>
  </si>
  <si>
    <t>Externally rated exposures</t>
  </si>
  <si>
    <t>Unrated exposures</t>
  </si>
  <si>
    <t>of which: externally rated exposures</t>
  </si>
  <si>
    <t>of which: unrated exposures</t>
  </si>
  <si>
    <t>Exposure amount</t>
  </si>
  <si>
    <t>All other off balance-sheet obligations not included in the above categories</t>
  </si>
  <si>
    <t>Check: sum capital charges from rated and unrated exposures should not be higher than total</t>
  </si>
  <si>
    <t>encumbered for periods ≥ 1 year</t>
  </si>
  <si>
    <t>encumbered for periods ≥ 9 months to &lt; 1 year</t>
  </si>
  <si>
    <t>encumbered for periods &lt; 3 months</t>
  </si>
  <si>
    <t>encumbered for periods ≥ 3 months to &lt; 6 months</t>
  </si>
  <si>
    <t>Check: accounting ≤ gross value</t>
  </si>
  <si>
    <t>Check: Derivatives value with Basel II netting rules ≤ gross values</t>
  </si>
  <si>
    <t>Check: Tier 1 adjustments should be ≤ additional Tier 1 prior to adjustments.</t>
  </si>
  <si>
    <t>Check: Tier 2 adjustments should be ≤ additional Tier 2 prior to adjustments.</t>
  </si>
  <si>
    <t>A) General Info worksheet</t>
  </si>
  <si>
    <t>D1b</t>
  </si>
  <si>
    <t>Check: notional ≥ accounting value</t>
  </si>
  <si>
    <t>Level 1 assets are lent and other assets are borrowed</t>
  </si>
  <si>
    <t>Defaulted exposures under the IRB approach</t>
  </si>
  <si>
    <t>Other assets are lent and Level 1 assets are borrowed</t>
  </si>
  <si>
    <t>Other assets are lent and other assets are borrowed</t>
  </si>
  <si>
    <t>Total outflows and total inflows from collateral swaps</t>
  </si>
  <si>
    <t>Addition</t>
  </si>
  <si>
    <t>Reduction</t>
  </si>
  <si>
    <t>Adjustments to Level 1 assets due to collateral swaps</t>
  </si>
  <si>
    <t>D) LCR</t>
  </si>
  <si>
    <t>Tier 2 regulatory adjustments which have to be deducted from Additional Tier 1 capital</t>
  </si>
  <si>
    <t>Regulatory adjustments actually made to Additional Tier 1 capital</t>
  </si>
  <si>
    <t>58, 59</t>
  </si>
  <si>
    <t>Total gross value of all assets classified as intangible under the relevant accounting standards (excluding goodwill and mortgage servicing rights)</t>
  </si>
  <si>
    <t>Total value of deferred tax assets which do not rely on the future profitability of the bank to be realised (net amount)</t>
  </si>
  <si>
    <t>Significant investments in the common equity of financial entities not deducted as part of the 10% cap</t>
  </si>
  <si>
    <t>Mortgage servicing rights not deducted as part of the 10% cap</t>
  </si>
  <si>
    <t>Deferred tax assets due to temporary differences not deducted as part of the 10% cap</t>
  </si>
  <si>
    <t>Significant investments in the common equity of financial entities</t>
  </si>
  <si>
    <t>Mortgage servicing rights</t>
  </si>
  <si>
    <t>Capital raised (gross)</t>
  </si>
  <si>
    <t>Total gross provisions eligible for inclusion in the adjustment to capital in respect of the difference between expected loss and provisions</t>
  </si>
  <si>
    <t>Total gross provisions eligible for inclusion in Tier 2 capital</t>
  </si>
  <si>
    <t>RWA impact of applying future definition of capital rules</t>
  </si>
  <si>
    <t>a) Credit risk (including CCR and non-trading credit risk)</t>
  </si>
  <si>
    <t>b) Market risk</t>
  </si>
  <si>
    <t>a) Operational risk</t>
  </si>
  <si>
    <t>b) Data on transitional floors</t>
  </si>
  <si>
    <t>c) Other Pillar 1 capital requirements</t>
  </si>
  <si>
    <t>Checks</t>
  </si>
  <si>
    <t>For IRB portfolios</t>
  </si>
  <si>
    <t>Assumed amounts not deducted (to be subject to 250% risk weighting)</t>
  </si>
  <si>
    <t>Regulatory adjustments actually made to Tier 2 capital instruments</t>
  </si>
  <si>
    <t>Total value of deferred tax assets which do rely on the future profitability of the bank to be realised (gross amount)</t>
  </si>
  <si>
    <t>Total value of deferred tax assets which do rely on the future profitability of the bank to be realised (net amount); of which:</t>
  </si>
  <si>
    <t>amounts arising from carryforwards of unused tax losses, unused tax credits and all other (net of pro rata share of any DTLs)</t>
  </si>
  <si>
    <t>CVA capital charge (risk-weighted asset equivalent); of which:</t>
  </si>
  <si>
    <t>157, 158</t>
  </si>
  <si>
    <t>160, 161</t>
  </si>
  <si>
    <t>amounts arising from temporary differences (net of pro rata share of any DTLs)</t>
  </si>
  <si>
    <t xml:space="preserve">Indirect investments in own shares (eg through holdings of index securities in which the bank itself is a constituent), net of any short positions </t>
  </si>
  <si>
    <t>Check: positive VaR capital charge requires VaR which is positive but smaller than the capital charge.</t>
  </si>
  <si>
    <t>Total amount to be deducted from Additional Tier 1 capital</t>
  </si>
  <si>
    <t>Total amount to be deducted from Tier 2 capital</t>
  </si>
  <si>
    <t>Total on and off balance sheet exposures. Amounts shown should be the LR exposure measure values.</t>
  </si>
  <si>
    <t>Total exposures; of which:</t>
  </si>
  <si>
    <t>Other retail exposures</t>
  </si>
  <si>
    <t>G</t>
  </si>
  <si>
    <t>Aa</t>
  </si>
  <si>
    <t>Ac</t>
  </si>
  <si>
    <t>B1b</t>
  </si>
  <si>
    <t>SME exposures</t>
  </si>
  <si>
    <t>Residential real estate exposures</t>
  </si>
  <si>
    <t>Commercial real estate</t>
  </si>
  <si>
    <t>Other corporate non-financial</t>
  </si>
  <si>
    <t>Total trading book exposures; of which:</t>
  </si>
  <si>
    <t>Total banking book exposures; of which:</t>
  </si>
  <si>
    <t>Memo item: trade finance exposures</t>
  </si>
  <si>
    <t>prime brokerage services</t>
  </si>
  <si>
    <t>Level 1</t>
  </si>
  <si>
    <t>correspondent banking activity</t>
  </si>
  <si>
    <t>d) Total cash inflows</t>
  </si>
  <si>
    <t>of which, can be included in the consolidated stock by the time the standard is implemented</t>
  </si>
  <si>
    <t>of which, can be brought back into the qualifying stock by the time the standard is implemented</t>
  </si>
  <si>
    <t>Amount/
market value</t>
  </si>
  <si>
    <t>Potential future exposure (current exposure method; apply Basel II netting rules)</t>
  </si>
  <si>
    <t>Potential future exposure
(current exposure method; assume no netting or CRM)</t>
  </si>
  <si>
    <t>Total expected loss eligible for inclusion in the adjustment to capital in respect of the difference between expected loss and provisions</t>
  </si>
  <si>
    <t>positive or negative amount that relates to the hedging of projected cash flows that are not recognised on the balance sheet (if gain report as positive; if loss report as negative)</t>
  </si>
  <si>
    <t>positive or negative amount that relates to the hedging of projected cash flows on liabilities that are recognised on the balance sheet but are not fair valued on the balance sheet (if gain report as positive; if loss report as negative)</t>
  </si>
  <si>
    <t>Comparable to the previous period</t>
  </si>
  <si>
    <t>2) LCR treatment for jurisdictions with insufficient liquid assets</t>
  </si>
  <si>
    <t>3) LCR cash outflows: additional deposit categories with higher run-off rates as specified by supervisor</t>
  </si>
  <si>
    <t>4) LCR cash outflows other contingent funding obligations</t>
  </si>
  <si>
    <t>5) LCR cash inflows</t>
  </si>
  <si>
    <t>6) NSFR RSF off-balance sheet items</t>
  </si>
  <si>
    <t>1) LCR haircuts for high-quality liquid assets</t>
  </si>
  <si>
    <t>other items, including those related to projected cash flows on assets and liabilities which are recognised on the balance sheet and are fair valued (if gain report as positive; if loss report as negative)</t>
  </si>
  <si>
    <t>For every separate defined benefit pension scheme which gives rise to a net asset on the balance sheet, the total of such net assets less any associated deferred tax liability that would be extinguished if the asset should be impaired</t>
  </si>
  <si>
    <t>provided by sovereigns, central banks, PSEs and MDBs</t>
  </si>
  <si>
    <t>Unsecured funding from sovereigns/central banks/PSEs/MDBs</t>
  </si>
  <si>
    <t>Unsecured and/or subordinated debt securities issued</t>
  </si>
  <si>
    <t>Loans to financial entities and financial corporates with effective remaining maturities of less than one year that are not renewable</t>
  </si>
  <si>
    <t>Items deducted from Tier 1 and Tier 2 capital under fully implemented Basel III rules</t>
  </si>
  <si>
    <t>Amount by which the above deduction from capital can be reduced by demonstrating unrestricted and unfettered access to assets in the relevant funds</t>
  </si>
  <si>
    <t>Permitted offsetting short positions in relation to the specific gross holdings included above</t>
  </si>
  <si>
    <r>
      <t>Permitted</t>
    </r>
    <r>
      <rPr>
        <sz val="10"/>
        <rFont val="Arial"/>
        <family val="2"/>
      </rPr>
      <t xml:space="preserve"> offsetting short positions in relation to the specific gross holdings included above</t>
    </r>
  </si>
  <si>
    <t>Allocation of the deduction to Additional Tier 1 capital</t>
  </si>
  <si>
    <t>Amount to be deducted from Common Equity Tier 1 capital as a result of application of 10% cap</t>
  </si>
  <si>
    <t>Amount to be deducted from Additional Tier 1 capital</t>
  </si>
  <si>
    <t>14) Deferred tax assets due to temporary differences</t>
  </si>
  <si>
    <t>Net deferred tax assets due to temporary differences</t>
  </si>
  <si>
    <t>(A separate column should be completed for each subsidairy issuing capital to third parties)</t>
  </si>
  <si>
    <t>amount attributable to third parties</t>
  </si>
  <si>
    <t>9) Defined benefit pension fund assets</t>
  </si>
  <si>
    <t>Standardised approach</t>
  </si>
  <si>
    <t>Advanced measurement approach</t>
  </si>
  <si>
    <t>Submission date (yyyy-mm-dd)</t>
  </si>
  <si>
    <t>Reciprocal cross holdings in common equity</t>
  </si>
  <si>
    <t>Shortfall of provisions to expected losses</t>
  </si>
  <si>
    <t>Other contingent funding obligations</t>
  </si>
  <si>
    <t>2) Cash inflows</t>
  </si>
  <si>
    <t>Rules as at reporting date</t>
  </si>
  <si>
    <t>Basel 2.5 rules</t>
  </si>
  <si>
    <t>According to rules at reporting date…</t>
  </si>
  <si>
    <t>D) Overall capital requirements and actual capital ratios</t>
  </si>
  <si>
    <t>Income</t>
  </si>
  <si>
    <t>Profit after tax</t>
  </si>
  <si>
    <t>Profit after tax prior to the deduction of relevant (ie expensed) distributions below</t>
  </si>
  <si>
    <t>Distributions</t>
  </si>
  <si>
    <t>162, 163</t>
  </si>
  <si>
    <t>Other coupon/dividend payments on Tier 1 instruments</t>
  </si>
  <si>
    <t>Common stock share buybacks</t>
  </si>
  <si>
    <t>Total capital of the subsidiary held by third parties less surplus attributable to third party investors</t>
  </si>
  <si>
    <r>
      <t>Cash flow hedge reserve</t>
    </r>
    <r>
      <rPr>
        <sz val="10"/>
        <color indexed="10"/>
        <rFont val="Arial"/>
        <family val="2"/>
      </rPr>
      <t xml:space="preserve"> </t>
    </r>
  </si>
  <si>
    <t>positive or negative amount that relates to the hedging of projected cash flows on assets that are recognised on the balance sheet but are not fair valued on the balance sheet (eg loans and receivable) (if gain report as positive; if loss report as negative)</t>
  </si>
  <si>
    <t xml:space="preserve">Prior to regulatory adjustments </t>
  </si>
  <si>
    <t>Regulatory adjustments</t>
  </si>
  <si>
    <r>
      <t>Accumulated other comprehensive income (and other reserves); of which:</t>
    </r>
    <r>
      <rPr>
        <sz val="10"/>
        <rFont val="Arial"/>
        <family val="2"/>
      </rPr>
      <t xml:space="preserve">
This should be the full amount prior to the application of all filters and deductions</t>
    </r>
  </si>
  <si>
    <t>unrealised gains and losses on available for sale items (if applicable)</t>
  </si>
  <si>
    <t>gains and losses on derivatives held as cash flow hedges (if applicable)</t>
  </si>
  <si>
    <t>Common Equity Tier 1 capital after all regulatory adjustments that do not depend on a threshold</t>
  </si>
  <si>
    <t>C) Capital distribution data (for the six months period ending on the reporting date)</t>
  </si>
  <si>
    <t>Common Equity Tier 1 capital after all regulatory adjustments except significant investments in financials, MSRs and DTA temporary difference)</t>
  </si>
  <si>
    <t>Common Equity Tier 1 after all regulatory adjustments except significant investments in financials, MSRs and DTA temporary difference)</t>
  </si>
  <si>
    <t>Common Equity Tier 1 capital after all regulatory adjustments except significant investments in financials, MSRs and DTA temporary differences)</t>
  </si>
  <si>
    <t>Allocation of the deduction to Tier 2 capital</t>
  </si>
  <si>
    <t>all other reserves (if applicable)</t>
  </si>
  <si>
    <t>Total Common Equity Tier 1 capital attributable to parent company common shareholders</t>
  </si>
  <si>
    <t>Intangibles other than mortgage servicing rights, net of related deferred tax liability</t>
  </si>
  <si>
    <t>Counterparty credit risk exposures (not including CVA charges or charges for exposures to CCPs)</t>
  </si>
  <si>
    <t>Intangibles (excluding goodwill and mortgage servicing rights) net of related tax liability (amount to be deducted from Common Equity Tier 1 capital)</t>
  </si>
  <si>
    <t>Goodwill net of related tax liability (amount to be deducted from Common Equity Tier 1 capital)</t>
  </si>
  <si>
    <t>Amount to be deducted from Common Equity Tier 1 capital in full</t>
  </si>
  <si>
    <t>4) Investments in own shares, own Additional Tier 1 and own Tier 2 capital</t>
  </si>
  <si>
    <t>Total amount to be deducted from Common Equity Tier 1 capital</t>
  </si>
  <si>
    <t>Direct investments in own Additional Tier 1 capital, net of any short positions if the short positions involve no counterparty risk</t>
  </si>
  <si>
    <t xml:space="preserve">Indirect investments in own Additional Tier 1 capital (eg through holdings of index securities in which the bank itself is a constituent), net of any short positions </t>
  </si>
  <si>
    <t>For own Additional Tier 1 capital which the group could be contractually obliged to purchase, the total potential purchase cost</t>
  </si>
  <si>
    <t>Direct investments in own Tier 2 capital, net of any short positions if the short positions involve no counterparty risk</t>
  </si>
  <si>
    <t xml:space="preserve">Indirect investments in own Tier 2 capital (eg through holdings of index securities in which the bank itself is a constituent), net of any short positions </t>
  </si>
  <si>
    <t>For own Tier 2 capital which the group could be contractually obliged to purchase, the total potential purchase cost</t>
  </si>
  <si>
    <t>Holdings of Tier 2 capital or similar instruments that are part of a reciprocal cross holding arrangement (= amount to be deducted from Tier 2 capital)</t>
  </si>
  <si>
    <t>Statutory minimum deposits from members of an institutional network of cooperative banks</t>
  </si>
  <si>
    <t>Shortfall of provisions to expeced losses to be deducted from Common Equity Tier 1 capital (gross of any tax adjustement)</t>
  </si>
  <si>
    <t>Cap for inclusion of excess provisions in Tier 2 capital (0.6% of credit risk-weighted assets)</t>
  </si>
  <si>
    <t>Excess of provisions to expected losses related to IRB portfolios to be included in Tier 2 capital</t>
  </si>
  <si>
    <t>Cap for inclusion of provisions in Tier 2 capital (1.25% of credit risk-weighted assets)</t>
  </si>
  <si>
    <t>Total provisions related to standardised approach to be included in Tier 2 capital</t>
  </si>
  <si>
    <t>Total provisions related to Basel I portfolios to be included in Tier 2 capital</t>
  </si>
  <si>
    <r>
      <t xml:space="preserve">Sum of CVA EADs belonging to margined </t>
    </r>
    <r>
      <rPr>
        <sz val="10"/>
        <rFont val="Arial"/>
        <family val="2"/>
      </rPr>
      <t>exposures</t>
    </r>
  </si>
  <si>
    <r>
      <t xml:space="preserve">Sum of CVA EADs belonging to non-margined </t>
    </r>
    <r>
      <rPr>
        <sz val="10"/>
        <rFont val="Arial"/>
        <family val="2"/>
      </rPr>
      <t>exposures</t>
    </r>
  </si>
  <si>
    <t>Total EAD</t>
  </si>
  <si>
    <t>D2c</t>
  </si>
  <si>
    <t>Amount to be deducted from (or added to if negative) Common Equity Tier 1 capital</t>
  </si>
  <si>
    <t>Credit risk-weighted assets which the bank is unable to assign to one of the above categories</t>
  </si>
  <si>
    <t>Market risk capital charge which the bank is unable to assign to one of the above categories</t>
  </si>
  <si>
    <t>Total cumulative net gains and (losses) in equity due to changes in the fair value of liabilities that are due to a change in the bank's own credit risk. Amount to be deducted from (or added to if negative) Common Equity Tier 1 capital (if gain report as positive; if loss report as negative)</t>
  </si>
  <si>
    <t>Gross holdings of Additional Tier 1 capital</t>
  </si>
  <si>
    <t xml:space="preserve">Holdings of Additional Tier 1 capital net of short positions </t>
  </si>
  <si>
    <t>Gross holdings of Tier 2 capital</t>
  </si>
  <si>
    <t>Holdings of Tier 2 capital net of short positions</t>
  </si>
  <si>
    <t>Amounts not deducted (to be subject to relevant risk weighting with amounts below allocated on a pro rata basis in accordance with paragraph 83 of Basel III)</t>
  </si>
  <si>
    <t>12) Significant investments in the capital of banking, financial and insurance entities that are outside the scope of regulatory consolidation (ie where the bank owns more than 10% 
        of the issued common share capital or where the entity is an affiliate), excluding amounts held for underwriting purposes only if held for 5 working days or less</t>
  </si>
  <si>
    <t>Allocation of the deduction to Common Equity Tier 1 capital</t>
  </si>
  <si>
    <t>Method 1</t>
  </si>
  <si>
    <t>Method 2</t>
  </si>
  <si>
    <t>SFT covered by a Basel II netting agreement</t>
  </si>
  <si>
    <t>Other SFT</t>
  </si>
  <si>
    <t>Credit derivatives (protection sold); of which:</t>
  </si>
  <si>
    <t>subject to close out clause</t>
  </si>
  <si>
    <t>not subject to close out clause</t>
  </si>
  <si>
    <t>Sum of significant investments in financials, mortgage servicing rights and DTA temporary differences not deducted as a result of the 10% cap</t>
  </si>
  <si>
    <t>Deduction from Common Equity Tier 1 capital in respect of amounts above the 15% cap</t>
  </si>
  <si>
    <t>Common Equity Tier 1 capital</t>
  </si>
  <si>
    <t>Total Common Equity Tier 1 capital of the subsidiary held by third parties less surplus attributable to third party investors</t>
  </si>
  <si>
    <t>Total Tier 1 capital</t>
  </si>
  <si>
    <t>Surplus Total Tier 1 capital of the subsidiary; of which</t>
  </si>
  <si>
    <t>Total Tier 1 capital of the subsidiary held by third parties less surplus attributable to third party investors</t>
  </si>
  <si>
    <t>Total capital</t>
  </si>
  <si>
    <t>Surplus Total capital of the subsidiary; of which</t>
  </si>
  <si>
    <t>Surplus Common Equity Tier 1 capital of the subsidiary; of which</t>
  </si>
  <si>
    <t>Amount of Common Equity Tier 1 capital held by third parties to be included in consolidated Common Equity Tier 1 capital</t>
  </si>
  <si>
    <t>Amount of Tier 1 capital held by third parties to be included in consolidated Additional Tier 1 capital</t>
  </si>
  <si>
    <t>Amount of Total capital held by third parties to be included in consolidated Tier 2 capital</t>
  </si>
  <si>
    <t>A) Change in risk-weighted assets due to the application of the definition of capital (including changes related to the 10%/15% thresholds)</t>
  </si>
  <si>
    <t>A) On-balance sheet items</t>
  </si>
  <si>
    <t>Amounts should be net of specific provisions and valuations adjustments.</t>
  </si>
  <si>
    <t xml:space="preserve">Accounting balance sheet value </t>
  </si>
  <si>
    <t>Gross value (assume no netting or CRM)</t>
  </si>
  <si>
    <t>Derivatives:</t>
  </si>
  <si>
    <t>Credit derivatives (protection sold)</t>
  </si>
  <si>
    <t>Credit derivatives (protection bought)</t>
  </si>
  <si>
    <t>Financial derivatives</t>
  </si>
  <si>
    <t>Totals</t>
  </si>
  <si>
    <t>Notional amount</t>
  </si>
  <si>
    <t>B1 ) Derivatives</t>
  </si>
  <si>
    <t>B2) Off-balance sheet items</t>
  </si>
  <si>
    <t>Off-balance sheet items with a 0% CCF in the RSA; of which:</t>
  </si>
  <si>
    <t>Unconditionally cancellable credit cards commitments</t>
  </si>
  <si>
    <r>
      <t xml:space="preserve">PSEs </t>
    </r>
    <r>
      <rPr>
        <b/>
        <sz val="10"/>
        <rFont val="Arial"/>
        <family val="2"/>
      </rPr>
      <t>not</t>
    </r>
    <r>
      <rPr>
        <sz val="10"/>
        <rFont val="Arial"/>
        <family val="2"/>
      </rPr>
      <t xml:space="preserve"> guaranteed by central government but treated as a sovereign under paragraph 229 of the Basel II framework</t>
    </r>
  </si>
  <si>
    <t>PSEs guaranteed by central government</t>
  </si>
  <si>
    <t xml:space="preserve">Other unconditionally cancellable commitments </t>
  </si>
  <si>
    <t>Off-balance sheet items with a 20% CCF in the RSA</t>
  </si>
  <si>
    <t>Total off-balance sheet items</t>
  </si>
  <si>
    <t>Accounting total assets</t>
  </si>
  <si>
    <t>Reverse out on-balance sheet netting</t>
  </si>
  <si>
    <t xml:space="preserve">Reverse out derivatives netting </t>
  </si>
  <si>
    <t xml:space="preserve">Notional amount </t>
  </si>
  <si>
    <t>Notional amount (same reference name)</t>
  </si>
  <si>
    <t>Credit derivatives:</t>
  </si>
  <si>
    <t>Credit derivatives (protection sold less protection bought)</t>
  </si>
  <si>
    <t>Check: Sum of total credit derivatives should be the same as that in panel B</t>
  </si>
  <si>
    <t>Check: Credit derivatives (protection sold) should be the same as that in panel B</t>
  </si>
  <si>
    <t>Check: Credit derivatives (protection bought) should be the same as that in panel B</t>
  </si>
  <si>
    <t xml:space="preserve">Amount </t>
  </si>
  <si>
    <t>2) Off balance-sheet items</t>
  </si>
  <si>
    <t>1) On balance-sheet items</t>
  </si>
  <si>
    <t>Net stable funding ratio</t>
  </si>
  <si>
    <t>Unsecured funding from other legal entities (including financial corporates and financial institutions)</t>
  </si>
  <si>
    <t>Total exposures</t>
  </si>
  <si>
    <t>Total exposures for the calculation of the leverage ratio</t>
  </si>
  <si>
    <t>Central banks</t>
  </si>
  <si>
    <t>Increases in risk-weighted assets to be reported as a positive value and decreases as a negative value.</t>
  </si>
  <si>
    <t>1) Common Equity Tier 1 capital</t>
  </si>
  <si>
    <t>Amount by which the sum of all holdings exceeds 10% of the Common Equity Tier 1 capital of the bank after all deductions that do not depend on a threshold 
(this is the amount to be deducted from regulatory capital)</t>
  </si>
  <si>
    <t>Amount to be included in risk-weighted assets in respect of the amounts used above to offset the deduction of pension fund assets</t>
  </si>
  <si>
    <t>Total risk-weighted assets of the subsidiary</t>
  </si>
  <si>
    <t>Other trading book exposures</t>
  </si>
  <si>
    <t>Investments in covered bonds</t>
  </si>
  <si>
    <t xml:space="preserve">Other banking book exposures; of which: </t>
  </si>
  <si>
    <t>Corporate; of which;</t>
  </si>
  <si>
    <t>Sovereigns; of which:</t>
  </si>
  <si>
    <t>MDBs</t>
  </si>
  <si>
    <t>Retail exposures; of which;</t>
  </si>
  <si>
    <t>Financial</t>
  </si>
  <si>
    <t>Qualifying revolving retail exposures</t>
  </si>
  <si>
    <t>Banks</t>
  </si>
  <si>
    <t>Number of counterparties to which the ACVA is applied</t>
  </si>
  <si>
    <t>Number of counterparties to which the SCVA is applied</t>
  </si>
  <si>
    <t>Number of counterparties to which both the ACVA and SCVA are applied</t>
  </si>
  <si>
    <t>Total number of counterparties for which a CVA charge is calculated</t>
  </si>
  <si>
    <t>Total EAD that entered the ACVA calculation</t>
  </si>
  <si>
    <t xml:space="preserve">Total EAD for CVA charge </t>
  </si>
  <si>
    <t>Number of ACVA counterparts where a proxy was used to determine a counterparty's credit spreads</t>
  </si>
  <si>
    <t>Securities with a 0% risk weight:</t>
  </si>
  <si>
    <t>Sum of CVA EADs for CCPs (if not excluded by the national supervisor per paragraph 99 of Basel III)</t>
  </si>
  <si>
    <t>Sum of CVA EADs for repo lending EADs (if not excluded by the national supervisor per paragraph 99 of Basel III)</t>
  </si>
  <si>
    <t>Risk-weighted assets of the consolidated group that relate to the subsidiary (ie risk-weighted assets of the subsidiary excluding intra-group transactions)</t>
  </si>
  <si>
    <t>Lower of the risk-weighted assets of the subsidiary and the contribution to consolidated risk-weighted assets</t>
  </si>
  <si>
    <t>Amount to be deducted from Tier 2 capital</t>
  </si>
  <si>
    <t>Residential mortgages of any maturity that would qualify for the 35% or lower risk weight under the Basel II standardised approach for credit risk</t>
  </si>
  <si>
    <t>Other loans, excluding loans to financial insitutions, with a remaining maturity of one year or greater that would qualify for the 35% or lower risk weight under the Basel II standardised approach for credit risk</t>
  </si>
  <si>
    <t>Unsecured debt issuance</t>
  </si>
  <si>
    <t>Net derivatives receivables</t>
  </si>
  <si>
    <t>Debt-buy back requests (incl related conduits)</t>
  </si>
  <si>
    <t>Unconditionally revocable "uncommitted" credit and liquidity facilities</t>
  </si>
  <si>
    <t>Guarantees</t>
  </si>
  <si>
    <t>Letters of credit</t>
  </si>
  <si>
    <t>Other trade finance instruments</t>
  </si>
  <si>
    <t>Equity</t>
  </si>
  <si>
    <t>Securities held where the institution has an offsetting reverse repurchase transaction when the security on each transaction has the same unique identifier (eg ISIN number or CUSIP) and such securities are reported on the balance sheet of the reporting instutions</t>
  </si>
  <si>
    <r>
      <t xml:space="preserve">Start of stress period used for </t>
    </r>
    <r>
      <rPr>
        <b/>
        <sz val="10"/>
        <rFont val="Arial"/>
        <family val="2"/>
      </rPr>
      <t>exposure</t>
    </r>
    <r>
      <rPr>
        <sz val="10"/>
        <rFont val="Arial"/>
        <family val="2"/>
      </rPr>
      <t xml:space="preserve"> for stressed VaR component of ACVA (yyyy-mm-dd)</t>
    </r>
  </si>
  <si>
    <r>
      <t xml:space="preserve">Start of stress period used for </t>
    </r>
    <r>
      <rPr>
        <b/>
        <sz val="10"/>
        <rFont val="Arial"/>
        <family val="2"/>
      </rPr>
      <t>spreads</t>
    </r>
    <r>
      <rPr>
        <sz val="10"/>
        <rFont val="Arial"/>
        <family val="2"/>
      </rPr>
      <t xml:space="preserve"> for stressed VaR component of ACVA (yyyy-mm-dd)</t>
    </r>
  </si>
  <si>
    <t>Did you set the full maturity adjustment to 1 while calculating Basel III RWA?</t>
  </si>
  <si>
    <t>Advanced CVA banks only</t>
  </si>
  <si>
    <t>Securities financing transactions</t>
  </si>
  <si>
    <t>B) Derivatives and off-balance sheet items</t>
  </si>
  <si>
    <t>Off-balance sheet items with a 50% CCF in the RSA</t>
  </si>
  <si>
    <t>Off-balance sheet items with a 100% CCF in the RSA</t>
  </si>
  <si>
    <t>Check: Unconditionally cancellable commitments should not exceed off-balance items with a 0% CCF</t>
  </si>
  <si>
    <t>C) On- and off-balance sheet items – additional breakdown of exposures</t>
  </si>
  <si>
    <t>On-balance sheet exposures: EAD/solvency-based value</t>
  </si>
  <si>
    <t>e) Total cash outflows</t>
  </si>
  <si>
    <t xml:space="preserve">Off-balance sheet exposures: notional x regulatory CCF </t>
  </si>
  <si>
    <t>Total on- and off-balance sheet exposures belonging to the banking book (breakdown according to the effective risk weight):</t>
  </si>
  <si>
    <t>= 0%</t>
  </si>
  <si>
    <t>&gt; 0 and ≤ 12%</t>
  </si>
  <si>
    <t>&gt; 12 and ≤ 20%</t>
  </si>
  <si>
    <t>&gt; 20 and ≤ 50%</t>
  </si>
  <si>
    <t>&gt; 50 and ≤ 75%</t>
  </si>
  <si>
    <t>&gt; 75 and ≤ 100%</t>
  </si>
  <si>
    <t>&gt; 100 and ≤ 425%</t>
  </si>
  <si>
    <t>&gt; 425 and ≤ 1250%</t>
  </si>
  <si>
    <t>D) Reconciliation (following relevant accounting standards)</t>
  </si>
  <si>
    <t>Check: Total equals total accounting values in panel A</t>
  </si>
  <si>
    <t>Reverse out SFT netting</t>
  </si>
  <si>
    <t>Reverse out other netting and other adjustments</t>
  </si>
  <si>
    <t>Check: Total equals total gross values in panel A</t>
  </si>
  <si>
    <t>E) Offsetting</t>
  </si>
  <si>
    <t>Check: Credit derivatives purchased are consistently filled-in (see reporting instructions for more details)</t>
  </si>
  <si>
    <t>Basel 2.5/Basel III rules</t>
  </si>
  <si>
    <t>Previous quarter</t>
  </si>
  <si>
    <r>
      <t>Paid in capital</t>
    </r>
    <r>
      <rPr>
        <sz val="10"/>
        <rFont val="Arial"/>
        <family val="2"/>
      </rPr>
      <t xml:space="preserve">
This should be equal to the sum of common stock (and </t>
    </r>
    <r>
      <rPr>
        <b/>
        <sz val="10"/>
        <rFont val="Arial"/>
        <family val="2"/>
      </rPr>
      <t>related</t>
    </r>
    <r>
      <rPr>
        <sz val="10"/>
        <rFont val="Arial"/>
        <family val="2"/>
      </rPr>
      <t xml:space="preserve"> surplus only) and other instruments for non joint stock companies, both of which must meet the common stock critieria. This should be net of treasury stock and other investments in own shares to the extent that these are already derecognised on the balance sheet under the relevant accounting standards. Other paid in capital elements must be excluded. All minority interest must be excluded.</t>
    </r>
  </si>
  <si>
    <t>Deferred tax assets (assuming full deduction prior to application of 10/15% thresholds)</t>
  </si>
  <si>
    <t>Mortgage servicing rights (assuming full deduction prior to application of 10/15% thresholds)</t>
  </si>
  <si>
    <t>Bank group</t>
  </si>
  <si>
    <t>Unit (1, 1000, 1000000)</t>
  </si>
  <si>
    <t>D</t>
  </si>
  <si>
    <t>E</t>
  </si>
  <si>
    <t>Impact of Basel III definition of capital</t>
  </si>
  <si>
    <r>
      <t xml:space="preserve">Basel III rules </t>
    </r>
    <r>
      <rPr>
        <b/>
        <sz val="10"/>
        <color indexed="10"/>
        <rFont val="Arial"/>
        <family val="2"/>
      </rPr>
      <t>(partial application)</t>
    </r>
  </si>
  <si>
    <t>Capital ratios (actual capital, rules as of the relevant date)</t>
  </si>
  <si>
    <t>3) Risk-weighted assets and capital ratios (Basel II banks: before application of the Basel II floors)</t>
  </si>
  <si>
    <t>B1</t>
  </si>
  <si>
    <t>Total</t>
  </si>
  <si>
    <t>General Info</t>
  </si>
  <si>
    <t>1) Reporting data</t>
  </si>
  <si>
    <t>2) Approaches to credit risk</t>
  </si>
  <si>
    <t>Basic indicator approach</t>
  </si>
  <si>
    <t>Tier 1 and Tier 2 capital (Basel III 2022)</t>
  </si>
  <si>
    <r>
      <t>Loans to non-financial corporate clients, sovereigns, central banks, PSEs a</t>
    </r>
    <r>
      <rPr>
        <sz val="10"/>
        <rFont val="Arial"/>
        <family val="2"/>
      </rPr>
      <t>nd MDBs with</t>
    </r>
    <r>
      <rPr>
        <sz val="10"/>
        <rFont val="Arial"/>
        <family val="2"/>
      </rPr>
      <t xml:space="preserve"> a remaining maturity of less than one year</t>
    </r>
  </si>
  <si>
    <t>Loans to retail and small business customers (other than mortgage loans) with a remaining maturity of less than one year that would qualify for the 35% or lower risk weight under the Basel II standardised approach for credit risk</t>
  </si>
  <si>
    <t>encumbered for periods &lt;3 months</t>
  </si>
  <si>
    <t>encumbered for periods ≥ 3 months to &lt;6 months</t>
  </si>
  <si>
    <t>encumbered for periods ≥ 9 months to &lt;1 year</t>
  </si>
  <si>
    <t>encumbered for periods ≥1 year</t>
  </si>
  <si>
    <r>
      <t>Other loans to retail a</t>
    </r>
    <r>
      <rPr>
        <sz val="10"/>
        <rFont val="Arial"/>
        <family val="2"/>
      </rPr>
      <t>nd small business customers with</t>
    </r>
    <r>
      <rPr>
        <sz val="10"/>
        <rFont val="Arial"/>
        <family val="2"/>
      </rPr>
      <t xml:space="preserve"> a remaining maturity of less than one year</t>
    </r>
  </si>
  <si>
    <r>
      <t xml:space="preserve">Deferred tax assets which </t>
    </r>
    <r>
      <rPr>
        <b/>
        <sz val="10"/>
        <color indexed="10"/>
        <rFont val="Arial"/>
        <family val="2"/>
      </rPr>
      <t>do not</t>
    </r>
    <r>
      <rPr>
        <b/>
        <sz val="10"/>
        <rFont val="Arial"/>
        <family val="2"/>
      </rPr>
      <t xml:space="preserve"> rely on the future profitability of the bank to be realised</t>
    </r>
  </si>
  <si>
    <r>
      <t xml:space="preserve">Deferred tax assets which </t>
    </r>
    <r>
      <rPr>
        <b/>
        <sz val="10"/>
        <color indexed="10"/>
        <rFont val="Arial"/>
        <family val="2"/>
      </rPr>
      <t>do</t>
    </r>
    <r>
      <rPr>
        <b/>
        <sz val="10"/>
        <rFont val="Arial"/>
        <family val="2"/>
      </rPr>
      <t xml:space="preserve"> rely on the future profitability of the bank to be realised</t>
    </r>
  </si>
  <si>
    <t>Basel I/Basel II</t>
  </si>
  <si>
    <t>Basel II</t>
  </si>
  <si>
    <t>Comprehensive risk model, before application of the floor</t>
  </si>
  <si>
    <t>Specific interest rate risk</t>
  </si>
  <si>
    <t>Specific equity position risk</t>
  </si>
  <si>
    <t>Total risk-weighted assets for operational risk</t>
  </si>
  <si>
    <t>Total capital charge for market risk</t>
  </si>
  <si>
    <t>Total risk-weighted assets for credit risk</t>
  </si>
  <si>
    <t>Settlement risk</t>
  </si>
  <si>
    <t>Other Pillar 1 requirements</t>
  </si>
  <si>
    <t>A</t>
  </si>
  <si>
    <t>B</t>
  </si>
  <si>
    <t>Total amount in respect of provisions to be included in Tier 2</t>
  </si>
  <si>
    <t>7) Cash flow hedge reserve</t>
  </si>
  <si>
    <t>10) Securitisation gain on sale (expected future margin income) as set out in paragraph 562 of the Basel II framework</t>
  </si>
  <si>
    <t>1) Cash outflows</t>
  </si>
  <si>
    <t>Amount exceeding the 15% threshold</t>
  </si>
  <si>
    <t>Provisions included in Tier 2 capital</t>
  </si>
  <si>
    <t>Sum of all net holdings where the bank does not own more than 10% of the issued share capital</t>
  </si>
  <si>
    <t>Securitisation exposures (except securitisation gain on sale)</t>
  </si>
  <si>
    <t>Equity exposures under the PD/LGD approach</t>
  </si>
  <si>
    <t>Non-payment/delivery on non-DvP and non-PvP transactions</t>
  </si>
  <si>
    <t>BIA</t>
  </si>
  <si>
    <t>TSA</t>
  </si>
  <si>
    <t>ASA</t>
  </si>
  <si>
    <t>AMA</t>
  </si>
  <si>
    <t>unrealised gains and losses from a foreign currency hedge of a net investment in a foreign operation (if applicable)</t>
  </si>
  <si>
    <t>property revaluation reserve (if applicable)</t>
  </si>
  <si>
    <t>CCR OTC</t>
  </si>
  <si>
    <t>CEM</t>
  </si>
  <si>
    <t>Standardised</t>
  </si>
  <si>
    <t>IMM</t>
  </si>
  <si>
    <t>Supervisory haircuts</t>
  </si>
  <si>
    <t>Bank is a single legal entity</t>
  </si>
  <si>
    <t>issued by sovereigns</t>
  </si>
  <si>
    <t>guaranteed by sovereigns</t>
  </si>
  <si>
    <t>issued or guaranteed by central banks</t>
  </si>
  <si>
    <t>issued or guaranteed by non-central government PSEs</t>
  </si>
  <si>
    <t>Bank is a subsidiary of a banking group</t>
  </si>
  <si>
    <t>Bank is a subsidiary with a non-EU parent (EU only)</t>
  </si>
  <si>
    <t>Alternative standardised approach</t>
  </si>
  <si>
    <t>Reporting currency (ISO code)</t>
  </si>
  <si>
    <t>Constant</t>
  </si>
  <si>
    <t>retail clients</t>
  </si>
  <si>
    <t>non-financial corporates</t>
  </si>
  <si>
    <t>Total retail deposits; of which:</t>
  </si>
  <si>
    <r>
      <t xml:space="preserve">11) Investments in the capital of banking, financial and insurance entities that are outside the scope of regulatory consolidation and where the bank </t>
    </r>
    <r>
      <rPr>
        <b/>
        <sz val="12"/>
        <color indexed="10"/>
        <rFont val="Arial"/>
        <family val="2"/>
      </rPr>
      <t>does not</t>
    </r>
    <r>
      <rPr>
        <b/>
        <sz val="12"/>
        <rFont val="Arial"/>
        <family val="2"/>
      </rPr>
      <t xml:space="preserve"> own more than 10% of the issued 
       common share capital (excluding amounts held for underwriting purposes only if held for 5 working days or less)</t>
    </r>
  </si>
  <si>
    <t>A) General bank data</t>
  </si>
  <si>
    <t>CMG-relevant</t>
  </si>
  <si>
    <t>Other Pillar 1 requirements for market risk</t>
  </si>
  <si>
    <t>Leverage ratio</t>
  </si>
  <si>
    <t>Amount</t>
  </si>
  <si>
    <t>52, 53</t>
  </si>
  <si>
    <r>
      <t>62</t>
    </r>
    <r>
      <rPr>
        <sz val="10"/>
        <rFont val="Arial"/>
        <family val="2"/>
      </rPr>
      <t>–</t>
    </r>
    <r>
      <rPr>
        <sz val="10"/>
        <rFont val="Arial"/>
        <family val="2"/>
      </rPr>
      <t>64</t>
    </r>
  </si>
  <si>
    <t>62–64</t>
  </si>
  <si>
    <t>55, 56</t>
  </si>
  <si>
    <t>67–68</t>
  </si>
  <si>
    <r>
      <t>71</t>
    </r>
    <r>
      <rPr>
        <sz val="10"/>
        <rFont val="Arial"/>
        <family val="2"/>
      </rPr>
      <t>–</t>
    </r>
    <r>
      <rPr>
        <sz val="10"/>
        <rFont val="Arial"/>
        <family val="2"/>
      </rPr>
      <t>72</t>
    </r>
  </si>
  <si>
    <r>
      <t>76</t>
    </r>
    <r>
      <rPr>
        <sz val="10"/>
        <rFont val="Arial"/>
        <family val="2"/>
      </rPr>
      <t>–</t>
    </r>
    <r>
      <rPr>
        <sz val="10"/>
        <rFont val="Arial"/>
        <family val="2"/>
      </rPr>
      <t>77</t>
    </r>
  </si>
  <si>
    <r>
      <t>80</t>
    </r>
    <r>
      <rPr>
        <sz val="10"/>
        <rFont val="Arial"/>
        <family val="2"/>
      </rPr>
      <t>–</t>
    </r>
    <r>
      <rPr>
        <sz val="10"/>
        <rFont val="Arial"/>
        <family val="2"/>
      </rPr>
      <t>83</t>
    </r>
  </si>
  <si>
    <r>
      <t>84</t>
    </r>
    <r>
      <rPr>
        <sz val="10"/>
        <rFont val="Arial"/>
        <family val="2"/>
      </rPr>
      <t>–</t>
    </r>
    <r>
      <rPr>
        <sz val="10"/>
        <rFont val="Arial"/>
        <family val="2"/>
      </rPr>
      <t>86</t>
    </r>
  </si>
  <si>
    <r>
      <t>62</t>
    </r>
    <r>
      <rPr>
        <sz val="10"/>
        <rFont val="Arial"/>
        <family val="2"/>
      </rPr>
      <t>–</t>
    </r>
    <r>
      <rPr>
        <sz val="10"/>
        <rFont val="Arial"/>
        <family val="2"/>
      </rPr>
      <t>64</t>
    </r>
  </si>
  <si>
    <t>Unsecured debt securities issued</t>
  </si>
  <si>
    <t>[%]</t>
  </si>
  <si>
    <t>Other exposures</t>
  </si>
  <si>
    <t>Advanced CVA risk capital charge</t>
  </si>
  <si>
    <t>Standardised CVA risk capital charge</t>
  </si>
  <si>
    <t>Corporate (not including receivables); of which:</t>
  </si>
  <si>
    <t>Sovereign; of which:</t>
  </si>
  <si>
    <t>Bank; of which:</t>
  </si>
  <si>
    <t>Retail; of which:</t>
  </si>
  <si>
    <t>B) Leverage ratio worksheet</t>
  </si>
  <si>
    <t>C) LCR worksheet</t>
  </si>
  <si>
    <t>D) NSFR worksheet</t>
  </si>
  <si>
    <t>Data in green cells can typically be provided by national supervisors based on regulatory reporting data. Enter 0 for capital charges not in force at a particular reporting date.</t>
  </si>
  <si>
    <t>Basel II/III standardised approach</t>
  </si>
  <si>
    <t>Basel II/III IRB approaches</t>
  </si>
  <si>
    <t>Standardised method</t>
  </si>
  <si>
    <t>Basel II/III FIRB approach</t>
  </si>
  <si>
    <t>Basel II/III AIRB approach</t>
  </si>
  <si>
    <t>2) Data for Basel II/III banks</t>
  </si>
  <si>
    <r>
      <t>Actual CET1 capital ratio (</t>
    </r>
    <r>
      <rPr>
        <b/>
        <sz val="10"/>
        <rFont val="Arial"/>
        <family val="2"/>
      </rPr>
      <t>after</t>
    </r>
    <r>
      <rPr>
        <sz val="10"/>
        <rFont val="Arial"/>
        <family val="2"/>
      </rPr>
      <t xml:space="preserve"> application of the transitional floor)</t>
    </r>
  </si>
  <si>
    <r>
      <t>Actual Tier 1 capital ratio (</t>
    </r>
    <r>
      <rPr>
        <b/>
        <sz val="10"/>
        <rFont val="Arial"/>
        <family val="2"/>
      </rPr>
      <t>after</t>
    </r>
    <r>
      <rPr>
        <sz val="10"/>
        <rFont val="Arial"/>
        <family val="2"/>
      </rPr>
      <t xml:space="preserve"> application of the transitional floor)</t>
    </r>
  </si>
  <si>
    <r>
      <t>Actual total capital ratio (</t>
    </r>
    <r>
      <rPr>
        <b/>
        <sz val="10"/>
        <rFont val="Arial"/>
        <family val="2"/>
      </rPr>
      <t xml:space="preserve">after </t>
    </r>
    <r>
      <rPr>
        <sz val="10"/>
        <rFont val="Arial"/>
        <family val="2"/>
      </rPr>
      <t>application of the transitional floor)</t>
    </r>
  </si>
  <si>
    <r>
      <t xml:space="preserve">Total risk-weighted assets (Basel II/III banks: </t>
    </r>
    <r>
      <rPr>
        <b/>
        <sz val="10"/>
        <rFont val="Arial"/>
        <family val="2"/>
      </rPr>
      <t>before</t>
    </r>
    <r>
      <rPr>
        <sz val="10"/>
        <rFont val="Arial"/>
        <family val="2"/>
      </rPr>
      <t xml:space="preserve"> application of the transitional floors)</t>
    </r>
  </si>
  <si>
    <t>LCR</t>
  </si>
  <si>
    <t>Weight</t>
  </si>
  <si>
    <t>Weighted amount</t>
  </si>
  <si>
    <t>part of central bank reserves that can be drawn in times of stress</t>
  </si>
  <si>
    <t>For non-0% risk-weighted sovereigns:</t>
  </si>
  <si>
    <t>sovereign or central bank debt securities issued in domestic currencies by the sovereign or central bank in the country in which the liquidity risk is being taken or in the bank’s home country</t>
  </si>
  <si>
    <t>Total stock of Level 1 assets</t>
  </si>
  <si>
    <t>Total run-off on other contingent funding obligations</t>
  </si>
  <si>
    <t>Adjustment to stock of Level 1 assets</t>
  </si>
  <si>
    <t>Adjusted amount of Level 1 assets</t>
  </si>
  <si>
    <t>Market value</t>
  </si>
  <si>
    <t>Securities with a 20% risk weight:</t>
  </si>
  <si>
    <t>issued or guaranteed by MDBs</t>
  </si>
  <si>
    <t>Non-financial corporate bonds, rated AA- or better</t>
  </si>
  <si>
    <t>Covered bonds, not self-issued, rated AA- or better</t>
  </si>
  <si>
    <t>Loss of funding on ABS and other structured financing instruments issued by the bank, excluding covered bonds</t>
  </si>
  <si>
    <t xml:space="preserve">Loss of funding on ABCP, conduits, SIVs and other such financing activities; of which: </t>
  </si>
  <si>
    <t>debt maturing ≤ 30 days</t>
  </si>
  <si>
    <t>Collateral swaps maturing ≤ 30 days:</t>
  </si>
  <si>
    <t>C) NSFR</t>
  </si>
  <si>
    <t>Trading book counterparty credit risk exposures (if not included above)</t>
  </si>
  <si>
    <t>provided by members of the institutional networks of cooperative (or otherwise named) banks</t>
  </si>
  <si>
    <t>D) For completion only by the central institutions of networks of cooperative (or otherwise named) banks</t>
  </si>
  <si>
    <t>Statutory minimum deposits from members of an institutional network of cooperative (or otherwise named) banks</t>
  </si>
  <si>
    <t>Level 1 assets</t>
  </si>
  <si>
    <t>Level 2 assets</t>
  </si>
  <si>
    <t>Total usage of alternative treatment (post-haircut) before applying the cap</t>
  </si>
  <si>
    <t>Cap on usage of alternative treatment</t>
  </si>
  <si>
    <t>Total usage of alternative treatment (post-haircut) after applying the cap</t>
  </si>
  <si>
    <t>Total stock of high quality liquid assets plus usage of alternative treatment</t>
  </si>
  <si>
    <t xml:space="preserve"> </t>
  </si>
  <si>
    <t>Insured deposits; of which:</t>
  </si>
  <si>
    <t>in non-transactional and non-relationship accounts</t>
  </si>
  <si>
    <t>Uninsured deposits</t>
  </si>
  <si>
    <t>Additional deposit categories with higher run-off rates as specified by supervisor</t>
  </si>
  <si>
    <t>Category 1</t>
  </si>
  <si>
    <t>Category 2</t>
  </si>
  <si>
    <t>Category 3</t>
  </si>
  <si>
    <t>With a supervisory run-off rate</t>
  </si>
  <si>
    <t>Without a supervisory run-off rate</t>
  </si>
  <si>
    <t>Total retail deposits run-off</t>
  </si>
  <si>
    <t xml:space="preserve">Total unsecured wholesale funding </t>
  </si>
  <si>
    <t>Total funding provided by small business customers; of which:</t>
  </si>
  <si>
    <t>Total operational deposits; of which:</t>
  </si>
  <si>
    <t>provided by non-financial corporates</t>
  </si>
  <si>
    <t>uninsured</t>
  </si>
  <si>
    <t>provided by banks</t>
  </si>
  <si>
    <t>RSF 
Factor &lt;1yr</t>
  </si>
  <si>
    <t>RSF 
Factor ≥1 year</t>
  </si>
  <si>
    <t>Calculated RSF &lt;1yr</t>
  </si>
  <si>
    <t>Calculated RSF ≥1 year</t>
  </si>
  <si>
    <t>Calculated Total RSF</t>
  </si>
  <si>
    <t>≥ 3 months to &lt; 6 months</t>
  </si>
  <si>
    <t>≥ 6 months to &lt; 9 months</t>
  </si>
  <si>
    <t>≥ 9 months to &lt; 1 year</t>
  </si>
  <si>
    <t>≥1 year</t>
  </si>
  <si>
    <t xml:space="preserve">Short-term unsecured instruments and transactions with outstanding maturities of less than one year, of which are: </t>
  </si>
  <si>
    <t>Unencumbered</t>
  </si>
  <si>
    <t>Encumbered</t>
  </si>
  <si>
    <t>encumbered for periods ≥ 6 months to &lt; 9 months</t>
  </si>
  <si>
    <t>Securities with stated remaining maturities of less than one year with no embedded options that would increase the expected maturity to one year or greater</t>
  </si>
  <si>
    <t>Securities eligible for Level 1 of the LCR stock of liquid assets</t>
  </si>
  <si>
    <t>Gold</t>
  </si>
  <si>
    <t>Equities listed on major exchange, not issued by financial institutions</t>
  </si>
  <si>
    <t>Corporate bonds, rated A+ to A-</t>
  </si>
  <si>
    <t>Risk-weighted assets resulting from amounts below the 10/15% thresholds and the threshold for investements in the capital of financial entities where the bank does not more than 10% of the issued common share capital</t>
  </si>
  <si>
    <t>Derivatives, SFTs</t>
  </si>
  <si>
    <t>Other sovereign exposures</t>
  </si>
  <si>
    <t>Mutual / cooperative</t>
  </si>
  <si>
    <t>Joint stock company</t>
  </si>
  <si>
    <t>Other non-joint stock company</t>
  </si>
  <si>
    <t>C) Spreadsheet localisation</t>
  </si>
  <si>
    <t>D) Drop-down menus</t>
  </si>
  <si>
    <t>Investments in the Additional Tier 1 capital of other financial entities in which bank has significant common stock investment</t>
  </si>
  <si>
    <t>Investments in the Tier 2 capital of other financial entities in which bank has significant common stock investment</t>
  </si>
  <si>
    <t>Regulatory adjustments to be deducted from Tier 2 capital; of which</t>
  </si>
  <si>
    <t>Holdings of Additional Tier 1 capital or similar instruments that are part of a reciprocal cross holding arrangement (= amount to be deducted from Additional Tier 1 capital)</t>
  </si>
  <si>
    <t>Total positive or negative value of the cash flow hedge reserve as stated on the balance sheet; of which:</t>
  </si>
  <si>
    <t xml:space="preserve">Total Common Equity Tier 1 capital of the subsidiary net of deductions (if the subsidiary is not a bank, as defined in footnote 23 of the rules text, zero must be entered into this cell with the common equity to be included in the Total Tier 1 cell below); </t>
  </si>
  <si>
    <t>Total Tier 1 (CET1 + AT1) of the subsidiary net of deductions</t>
  </si>
  <si>
    <t>Total capital (CET1 + AT1 + T2) of the subsidiary net of deductions</t>
  </si>
  <si>
    <t>actuarial reserve (if applicable)</t>
  </si>
  <si>
    <t>Additional Tier 1 instruments issued by parent company of group (and any related surplus), including any compliant capital issued via SPVs as determined by paragraph 65 of Basel III</t>
  </si>
  <si>
    <t>Tier 2 capital instruments issued by parent company of group (and any related surplus), including any compliant capital issued via SPVs as determined by paragraph 65 of Basel III</t>
  </si>
  <si>
    <t>c) Additional data on CCR RWA</t>
  </si>
  <si>
    <t>Specialised lending exposures</t>
  </si>
  <si>
    <t>Prior to regulatory adjustments</t>
  </si>
  <si>
    <t>Covered bonds, not self issued, rated A+ to A-</t>
  </si>
  <si>
    <t>All other assets not included in the above categories</t>
  </si>
  <si>
    <t>B) Required stable funding</t>
  </si>
  <si>
    <t>Tier 1 and Tier 2 capital</t>
  </si>
  <si>
    <t>Preferred stock not included above</t>
  </si>
  <si>
    <t xml:space="preserve">RSF 
Factor </t>
  </si>
  <si>
    <t xml:space="preserve">Non-contractual obligations, such as: </t>
  </si>
  <si>
    <t>Managed funds</t>
  </si>
  <si>
    <t>Total RSF</t>
  </si>
  <si>
    <t>"Stable" (as defined in the LCR) demand and/or term deposits from retail and small business customers (as defined in the LCR)</t>
  </si>
  <si>
    <t>provided by other banks</t>
  </si>
  <si>
    <t>Additional balances required to be installed in central bank reserves</t>
  </si>
  <si>
    <t>Total unsecured wholesale funding run-off</t>
  </si>
  <si>
    <t>Amount received</t>
  </si>
  <si>
    <t>Market value of extended collateral</t>
  </si>
  <si>
    <t>Total secured wholesale funding run-off</t>
  </si>
  <si>
    <t>Increased liquidity needs related to the potential for valuation changes on posted collateral securing derivative and other transactions:</t>
  </si>
  <si>
    <t>with embedded options in financing arrangements</t>
  </si>
  <si>
    <t>other potential loss of such funding</t>
  </si>
  <si>
    <t>Total EAD that entered the SCVA calculation; of which</t>
  </si>
  <si>
    <t>B) Current capital applying…</t>
  </si>
  <si>
    <t>national rules as at reporting date</t>
  </si>
  <si>
    <t>Basel III standards as in 2022</t>
  </si>
  <si>
    <t>Check: Cash collateral received in derivatives transactions ≤ other assets</t>
  </si>
  <si>
    <t>Check: Receivables for cash collateral posted in derivatives transactions ≤ other assets</t>
  </si>
  <si>
    <t>Check: Securities received in a SFT that are recognised as an asset ≤ other assets</t>
  </si>
  <si>
    <t>Check: Memo item on SFT cash conduit lending (cash receivables) ≤ SFT total</t>
  </si>
  <si>
    <t>Memo item: Cash collateral received in derivatives transactions</t>
  </si>
  <si>
    <t>Memo item: Receivables for cash collateral posted in derivatives transactions</t>
  </si>
  <si>
    <t>Memo item: Securities received in a SFT that are recognised as an asset</t>
  </si>
  <si>
    <t>Memo item: SFT cash conduit lending (cash receivables)</t>
  </si>
  <si>
    <t>Notional amount (same reference name with no maturity mismatch)</t>
  </si>
  <si>
    <t>G) Calculation of the leverage ratio</t>
  </si>
  <si>
    <t>H) Business model categorisation</t>
  </si>
  <si>
    <t>Financial entities</t>
  </si>
  <si>
    <t>Securitisation entitites</t>
  </si>
  <si>
    <t>Commercial entities</t>
  </si>
  <si>
    <t>On-balance sheet items:</t>
  </si>
  <si>
    <t>Derivatives and off-balance sheet items:</t>
  </si>
  <si>
    <t>Derivatives</t>
  </si>
  <si>
    <t>PFE of derivatives</t>
  </si>
  <si>
    <t>Off-balance sheet items:</t>
  </si>
  <si>
    <t>unconditionally cancellable commitments</t>
  </si>
  <si>
    <t>other commitments</t>
  </si>
  <si>
    <t>Memo item: Investment value in the consolidated entities</t>
  </si>
  <si>
    <t>Memo item: Accounting assets of the consolidated entities</t>
  </si>
  <si>
    <t>Counterparty exposure with Basel II netting rules</t>
  </si>
  <si>
    <t>F) Entities that are consolidated for accounting purposes and not for risk-based regulatory purposes</t>
  </si>
  <si>
    <t>Securities eligible for Level 2A of the LCR stock of liquid assets</t>
  </si>
  <si>
    <t>E) Supplementary Information</t>
  </si>
  <si>
    <t>RMBS eligible for Level 2B of the LCR stock of liquid assets</t>
  </si>
  <si>
    <t>Corporate debt securities rated BBB- to BBB+, eligible for Level 2B of the LCR stock of liquid assets</t>
  </si>
  <si>
    <t>Coins and banknotes</t>
  </si>
  <si>
    <t>Total central bank reserves; of which:</t>
  </si>
  <si>
    <t>issued or guaranteed by BIS, IMF, ECB and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</si>
  <si>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</si>
  <si>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b) Level 2A assets</t>
  </si>
  <si>
    <t>Total stock of Level 2A assets</t>
  </si>
  <si>
    <t>Adjustment to stock of Level 2A assets</t>
  </si>
  <si>
    <t>Adjusted amount of Level 2A assets</t>
  </si>
  <si>
    <t>c) Level 2B assets</t>
  </si>
  <si>
    <t>Residential mortgage-backed securities (RMBS), rated AA or better</t>
  </si>
  <si>
    <t>54 (a)</t>
  </si>
  <si>
    <t xml:space="preserve">Non-financial corporate bonds, rated BBB- to A+ </t>
  </si>
  <si>
    <t>54 (b)</t>
  </si>
  <si>
    <t xml:space="preserve">Non-financial common equity shares </t>
  </si>
  <si>
    <t xml:space="preserve">54 (c) </t>
  </si>
  <si>
    <t>Total stock of Level 2B RMBS assets</t>
  </si>
  <si>
    <t>Adjustment to stock of Level 2B RMBS assets</t>
  </si>
  <si>
    <t>Annex 1</t>
  </si>
  <si>
    <t>Adjusted amount of Level 2B RMBS assets</t>
  </si>
  <si>
    <t>Total stock of Level 2B non-RMBS assets</t>
  </si>
  <si>
    <t xml:space="preserve">54 (b),(c) </t>
  </si>
  <si>
    <t>Adjustment to stock of Level 2B non-RMBS assets</t>
  </si>
  <si>
    <t>Adjusted amount of Level 2B non-RMBS assets</t>
  </si>
  <si>
    <t>Adjusted amount of Level 2B (RMBS and non-RMBS) assets</t>
  </si>
  <si>
    <t>47, Annex 1</t>
  </si>
  <si>
    <t>51, Annex 1</t>
  </si>
  <si>
    <t>Level 2A</t>
  </si>
  <si>
    <t>Level 2B
RMBS</t>
  </si>
  <si>
    <t>Level 2B
non-RMBS</t>
  </si>
  <si>
    <t>Assets excluded from the stock of high quality liquid assets due to operational restrictions</t>
  </si>
  <si>
    <t xml:space="preserve">Option 2 – Foreign currency HQLA; of which: </t>
  </si>
  <si>
    <t>50 (a)</t>
  </si>
  <si>
    <t xml:space="preserve">50 (c) </t>
  </si>
  <si>
    <t xml:space="preserve">50 (d) </t>
  </si>
  <si>
    <t xml:space="preserve">50 (e) </t>
  </si>
  <si>
    <t>52 (a)</t>
  </si>
  <si>
    <t>52 (b)</t>
  </si>
  <si>
    <t>52 (a),(b)</t>
  </si>
  <si>
    <t>36-37, 171-172</t>
  </si>
  <si>
    <t>31-34, 38-40</t>
  </si>
  <si>
    <t>eligible for a 3% run-off rate; of which:</t>
  </si>
  <si>
    <t>are in the reporting bank's home jurisdiction</t>
  </si>
  <si>
    <t>are not in the reporting bank's home jurisdiction</t>
  </si>
  <si>
    <t>eligible for a 5% run-off rate; of which:</t>
  </si>
  <si>
    <t>Term deposits (treated as having &gt;30 day remaining maturity); of which:</t>
  </si>
  <si>
    <t>85-111</t>
  </si>
  <si>
    <t>89-92</t>
  </si>
  <si>
    <t>89, 75-78</t>
  </si>
  <si>
    <t>89, 75, 78</t>
  </si>
  <si>
    <t>89, 78</t>
  </si>
  <si>
    <t>89, 75</t>
  </si>
  <si>
    <t>89, 79</t>
  </si>
  <si>
    <t>92, 82-84</t>
  </si>
  <si>
    <t>92, 84</t>
  </si>
  <si>
    <t>92, 82</t>
  </si>
  <si>
    <t>93-104</t>
  </si>
  <si>
    <t>93-103</t>
  </si>
  <si>
    <t>107-108</t>
  </si>
  <si>
    <t>in transactional accounts; of which:</t>
  </si>
  <si>
    <t>in non-transactional accounts with established relationships that make deposit withdrawal highly unlikely; of which:</t>
  </si>
  <si>
    <t>Term deposits (treated as having &gt;30 day maturity); of which:</t>
  </si>
  <si>
    <t>provided by non-financial corporates; of which:</t>
  </si>
  <si>
    <t>where entire amount is fully covered by an effective deposit insurance scheme</t>
  </si>
  <si>
    <t>where entire amount is not fully covered by an effective deposit insurance scheme</t>
  </si>
  <si>
    <t>provided by sovereigns, central banks, PSEs and MDBs; of which:</t>
  </si>
  <si>
    <t>excess balances in operational accounts that could be withdrawn and would leave enough funds to fulfil the clearing, custody and cash management activities</t>
  </si>
  <si>
    <t>114-115</t>
  </si>
  <si>
    <t>Backed by Level 1 assets; of which:</t>
  </si>
  <si>
    <t>Backed by Level 2A assets; of which:</t>
  </si>
  <si>
    <t>Backed by Level 2B RMBS assets; of which:</t>
  </si>
  <si>
    <t>Backed by Level 2B non-RMBS assets; of which:</t>
  </si>
  <si>
    <t>Backed by other assets</t>
  </si>
  <si>
    <t>Transactions backed by Level 2A assets; of which:</t>
  </si>
  <si>
    <t>Transactions backed by Level 2B RMBS assets; of which:</t>
  </si>
  <si>
    <t>Transactions backed by Level 2B non-RMBS assets; of which:</t>
  </si>
  <si>
    <t>Derivatives cash outflow</t>
  </si>
  <si>
    <t>Cash and Level 1 assets</t>
  </si>
  <si>
    <t>Increased liquidity needs related to excess non-segregated collateral held by the bank that could contractually be called at any time by the counterparty</t>
  </si>
  <si>
    <t>Increased liquidity needs related to contractually required collateral on transactions for which the counterparty has not yet demanded the collateral be posted</t>
  </si>
  <si>
    <t>Increased liquidity needs related to contracts that allow collateral substitution to non-HQLA assets</t>
  </si>
  <si>
    <t>Increased liquidity needs related to market valuation changes on derivative or other transactions</t>
  </si>
  <si>
    <t>Undrawn committed credit and liquidity facilities provided to banks subject to prudential supervision</t>
  </si>
  <si>
    <t>131 (d)</t>
  </si>
  <si>
    <t>Undrawn committed credit facilities provided to other FIs</t>
  </si>
  <si>
    <t xml:space="preserve">131 (e) </t>
  </si>
  <si>
    <t>Undrawn committed liquidity facilities provided to other FIs</t>
  </si>
  <si>
    <t>131 (f)</t>
  </si>
  <si>
    <t>Non-contractual obligations related to potential liquidity draws from joint ventures or minority investments in entities</t>
  </si>
  <si>
    <t>Trade finance-related obligations (including guarantees and letters of credit)</t>
  </si>
  <si>
    <t>Guarantees and letters of credit unrelated to trade finance obligations</t>
  </si>
  <si>
    <t>Non contractual obligations where customer short positions are covered by other customers’ collateral</t>
  </si>
  <si>
    <t>Bank outright short positions covered by a collateralised securities financing transaction</t>
  </si>
  <si>
    <t>Other contractual cash outflows (including those related to unsecured collateral borrowings and uncovered short positions)</t>
  </si>
  <si>
    <t>138, 139</t>
  </si>
  <si>
    <t>141, 147</t>
  </si>
  <si>
    <t>116, 117</t>
  </si>
  <si>
    <t>131 (a)</t>
  </si>
  <si>
    <t>131 (b)</t>
  </si>
  <si>
    <t>131 (c)</t>
  </si>
  <si>
    <t>131 (g)</t>
  </si>
  <si>
    <t>a) Secured lending including reverse repo and securities borrowing</t>
  </si>
  <si>
    <t>Transactions backed by Level 2A assets</t>
  </si>
  <si>
    <t>145-146</t>
  </si>
  <si>
    <t>Margin lending backed by non-Level 1 or non-Level 2 collateral</t>
  </si>
  <si>
    <t>Transactions backed by Level 2B RMBS assets</t>
  </si>
  <si>
    <t>Transactions backed by Level 2B non-RMBS assets</t>
  </si>
  <si>
    <t>Derivatives cash inflow</t>
  </si>
  <si>
    <t>158, 159</t>
  </si>
  <si>
    <t>69, 144</t>
  </si>
  <si>
    <t>48, 113, 146, Annex 1</t>
  </si>
  <si>
    <t>Level 1 assets are lent and Level 2A assets are borrowed; of which:</t>
  </si>
  <si>
    <t>Level 1 assets are lent and Level 2B RMBS assets are borrowed; of which:</t>
  </si>
  <si>
    <t>Level 1 assets are lent and Level 2B non-RMBS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</si>
  <si>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</si>
  <si>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</si>
  <si>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</si>
  <si>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</si>
  <si>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</si>
  <si>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1 assets are borrowed; of which:</t>
  </si>
  <si>
    <t>Level 2B RMBS assets are lent and Level 2A assets are borrowed; of which:</t>
  </si>
  <si>
    <t>Level 2B RMBS assets are lent and Level 2B RMBS assets are borrowed; of which:</t>
  </si>
  <si>
    <t>Level 2B RMBS assets are lent and Level 2B non-RMBS assets are borrowed; of which:</t>
  </si>
  <si>
    <t>Level 2B RMBS assets are lent and other assets are borrowed; of which:</t>
  </si>
  <si>
    <t>Level 2B non-RMBS assets are lent and Level 1 assets are borrowed; of which:</t>
  </si>
  <si>
    <t>Level 2B non-RMBS assets are lent and Level 2A assets are borrowed; of which:</t>
  </si>
  <si>
    <t>Level 2B non-RMBS assets are lent and Level 2B RMBS assets are borrowed; of which:</t>
  </si>
  <si>
    <t>Level 2B non-RMBS assets are lent and Level 2B non-RMBS assets are borrowed; of which:</t>
  </si>
  <si>
    <t>Level 2B non-RMBS assets are lent and other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</si>
  <si>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</si>
  <si>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</si>
  <si>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</si>
  <si>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</si>
  <si>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</si>
  <si>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</si>
  <si>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</si>
  <si>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</si>
  <si>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</si>
  <si>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</si>
  <si>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2A assets are lent and other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</si>
  <si>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</si>
  <si>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</si>
  <si>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</si>
  <si>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</si>
  <si>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RMBS assets are lent and other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</si>
  <si>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</si>
  <si>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</si>
  <si>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</si>
  <si>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</si>
  <si>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Level 2B non-RMBS assets are lent and other assets are borrowed</t>
  </si>
  <si>
    <t>Other assets are lent and Level 2A assets are borrowed</t>
  </si>
  <si>
    <t>Other assets are lent and Level 2B RMBS assets are borrowed</t>
  </si>
  <si>
    <t>Other assets are lent and Level 2B non-RMBS assets are borrowed</t>
  </si>
  <si>
    <t>Adjustments to Level 2A assets due to collateral swaps</t>
  </si>
  <si>
    <t>Adjustments to Level 2B RMBS assets due to collateral swaps</t>
  </si>
  <si>
    <t>Adjustments to Level 2B non-RMBS assets due to collateral swaps</t>
  </si>
  <si>
    <t>issued or guaranteed by BIS, IMF, ECB or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</si>
  <si>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</si>
  <si>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Level 2A assets</t>
  </si>
  <si>
    <t>Level 2B assets</t>
  </si>
  <si>
    <t>RMBS, rated AA or better</t>
  </si>
  <si>
    <t>Non-financial corporate bonds, rated BBB- to A+</t>
  </si>
  <si>
    <t>Non-financial common equity shares</t>
  </si>
  <si>
    <t xml:space="preserve">Option 2 – Foreign currency HQLA, of which: </t>
  </si>
  <si>
    <t>e) Treatment for jurisdictions with insufficient HQLA</t>
  </si>
  <si>
    <t>75, 78</t>
  </si>
  <si>
    <t>82-84</t>
  </si>
  <si>
    <t>Undrawn committed credit and liquidity facilities to other legal entities</t>
  </si>
  <si>
    <t>operational deposits</t>
  </si>
  <si>
    <t>all payments on other loans and deposits due in ≤ 30 days</t>
  </si>
  <si>
    <t>A) Stock of high quality liquid assets (HQLA)</t>
  </si>
  <si>
    <t>Paragraph nr in standards doc</t>
  </si>
  <si>
    <t>50 (b), footnote 13</t>
  </si>
  <si>
    <t>issued or guaranteed by PSEs</t>
  </si>
  <si>
    <t>Adjustment to stock of HQLA due to cap on Level 2B assets</t>
  </si>
  <si>
    <t>Adjustment to stock of HQLA due to cap on Level 2 assets</t>
  </si>
  <si>
    <t>d) Total stock of HQLA</t>
  </si>
  <si>
    <t>Total stock of HQLA</t>
  </si>
  <si>
    <t>Assets held at the entity level, but excluded from the consolidated stock of HQLA</t>
  </si>
  <si>
    <t>Panel e) to be filled in in your jurisdiction:</t>
  </si>
  <si>
    <t>Option 3 – Additional use of Level 2 assets with a higher haircut</t>
  </si>
  <si>
    <t>f) Total stock of HQLA plus usage of alternative treatment</t>
  </si>
  <si>
    <t>Total stock of HQLA plus usage of alternative treatment</t>
  </si>
  <si>
    <t>105-109</t>
  </si>
  <si>
    <t>Of the non-operational deposits reported above, amounts that could be considered operational in nature but per the Basel III LCR standards have been excluded from receiving operational deposit treatment due to:</t>
  </si>
  <si>
    <t>99, footnote 42</t>
  </si>
  <si>
    <t>Transactions conducted with the bank's domestic central bank; of which:</t>
  </si>
  <si>
    <t>Transactions not conducted with the bank's domestic central bank and backed by Level 1 assets; of which:</t>
  </si>
  <si>
    <t>Transactions not conducted with the bank's domestic central bank and backed by Level 2A assets; of which:</t>
  </si>
  <si>
    <t>Transactions not conducted with the bank's domestic central bank and backed by Level 2B RMBS assets; of which:</t>
  </si>
  <si>
    <t>Counterparties are domestic sovereigns, MDBs or domestic PSEs with a 20% risk weight; of which:</t>
  </si>
  <si>
    <t>Counterparties are not domestic sovereigns, MDBs or domestic PSEs with a 20% risk weight; of which:</t>
  </si>
  <si>
    <t>Transactions not conducted with the bank's domestic central bank and backed by other assets (non-HQLA); of which:</t>
  </si>
  <si>
    <t>Counterparties are domestic sovereigns, MDBs or domestic PSEs with a 20% risk weight</t>
  </si>
  <si>
    <t>Counterparties are not domestic sovereigns, MDBs or domestic PSEs with a 20% risk weight</t>
  </si>
  <si>
    <t>Increased liquidity needs related to downgrade triggers in derviatives and other financing transactions</t>
  </si>
  <si>
    <r>
      <t xml:space="preserve">Of which collateral is </t>
    </r>
    <r>
      <rPr>
        <b/>
        <sz val="10"/>
        <color indexed="8"/>
        <rFont val="Arial"/>
        <family val="2"/>
      </rPr>
      <t>not re-used</t>
    </r>
    <r>
      <rPr>
        <sz val="10"/>
        <color indexed="8"/>
        <rFont val="Arial"/>
        <family val="2"/>
      </rPr>
      <t xml:space="preserve"> (ie is not rehypothecated) to cover the reporting institution's outright short positions</t>
    </r>
  </si>
  <si>
    <r>
      <t xml:space="preserve">Of which collateral </t>
    </r>
    <r>
      <rPr>
        <b/>
        <sz val="10"/>
        <color indexed="8"/>
        <rFont val="Arial"/>
        <family val="2"/>
      </rPr>
      <t>is re-used</t>
    </r>
    <r>
      <rPr>
        <sz val="10"/>
        <color indexed="8"/>
        <rFont val="Arial"/>
        <family val="2"/>
      </rPr>
      <t xml:space="preserve"> (ie is rehypothecated) in transactions to cover the reporting insitution's outright short positions </t>
    </r>
  </si>
  <si>
    <r>
      <t xml:space="preserve">Of which the borrowed assets </t>
    </r>
    <r>
      <rPr>
        <b/>
        <sz val="10"/>
        <color indexed="8"/>
        <rFont val="Arial"/>
        <family val="2"/>
      </rPr>
      <t>are not re-used</t>
    </r>
    <r>
      <rPr>
        <sz val="10"/>
        <color indexed="8"/>
        <rFont val="Arial"/>
        <family val="2"/>
      </rPr>
      <t xml:space="preserve"> (ie are not rehypothecated) to cover short positions </t>
    </r>
  </si>
  <si>
    <r>
      <t xml:space="preserve">Of which the borrowed assets </t>
    </r>
    <r>
      <rPr>
        <b/>
        <sz val="10"/>
        <color indexed="8"/>
        <rFont val="Arial"/>
        <family val="2"/>
      </rPr>
      <t>are re-used</t>
    </r>
    <r>
      <rPr>
        <sz val="10"/>
        <color indexed="8"/>
        <rFont val="Arial"/>
        <family val="2"/>
      </rPr>
      <t xml:space="preserve"> (ie are rehypothecated) in transactions to cover short positions</t>
    </r>
  </si>
  <si>
    <t>Transactions not conducted with the bank's domestic central bank and backed by Level 2B non-RMBS assets; of which:</t>
  </si>
  <si>
    <t>insured, with a 3% run-off rate</t>
  </si>
  <si>
    <t>insured, with a 5% run-off rate</t>
  </si>
  <si>
    <t>Internal models approach, specific risk surcharge (2011 only)</t>
  </si>
  <si>
    <r>
      <t xml:space="preserve">Internal models approach </t>
    </r>
    <r>
      <rPr>
        <b/>
        <sz val="10"/>
        <rFont val="Arial"/>
        <family val="2"/>
      </rPr>
      <t>without</t>
    </r>
    <r>
      <rPr>
        <sz val="10"/>
        <rFont val="Arial"/>
        <family val="2"/>
      </rPr>
      <t xml:space="preserve"> the specific risk surcharge, </t>
    </r>
    <r>
      <rPr>
        <b/>
        <sz val="10"/>
        <rFont val="Arial"/>
        <family val="2"/>
      </rPr>
      <t>actual capital charge</t>
    </r>
  </si>
  <si>
    <t>G-SIB surcharge</t>
  </si>
  <si>
    <t>Notional amount (same reference name with maturity requirements – method 1)</t>
  </si>
  <si>
    <t>Notional amount (same reference name with maturity requirements – method 2)</t>
  </si>
  <si>
    <t>Notional value of written credit derivatives</t>
  </si>
  <si>
    <t>Memo item: On and off-balance sheet exposures between entities included in panel F</t>
  </si>
  <si>
    <t>Memo item: On and off-balance sheet exposures of entities included in panel F to entities consolidated for risk-based regulatory purposes</t>
  </si>
  <si>
    <t>Total exposures between entities in the scope of consolidation of the leverage ratio</t>
  </si>
  <si>
    <t>On and off-balance sheet exposures of entities consolidated for risk-based regulatory purposes to other entities included in panel F</t>
  </si>
  <si>
    <t>Secured borrowings and liabilities (including secured term deposits); of which are from:</t>
  </si>
  <si>
    <t>Retail and small business customers</t>
  </si>
  <si>
    <t>Sovereigns/PSEs/MDBs</t>
  </si>
  <si>
    <t>Other legal entities (including financial corporates and financial institutions)</t>
  </si>
  <si>
    <t>≥ 3 months to 
&lt; 6 months</t>
  </si>
  <si>
    <t>≥ 6 months to 
&lt; 9 months</t>
  </si>
  <si>
    <t>≥ 9 months to 
&lt; 1 year</t>
  </si>
  <si>
    <t>Required central bank reserves</t>
  </si>
  <si>
    <t>Central bank reserves held in excess of minimum requirements</t>
  </si>
  <si>
    <t>Trade exposures (including client cleared trades)</t>
  </si>
  <si>
    <t>Default fund exposures</t>
  </si>
  <si>
    <t>Qualifying central counterparties; of which:</t>
  </si>
  <si>
    <t>Externally rated</t>
  </si>
  <si>
    <t>Unrated</t>
  </si>
  <si>
    <t>CCPs for which Method 1 is used</t>
  </si>
  <si>
    <t>EAD</t>
  </si>
  <si>
    <t>Exchange-traded derivatives (including client cleared trades)</t>
  </si>
  <si>
    <t>OTC derivatives (including client cleared trades)</t>
  </si>
  <si>
    <t>Securities financing transactions (including client cleared trades)</t>
  </si>
  <si>
    <t>Non-segregated initial margin</t>
  </si>
  <si>
    <t>Prefunded default fund contributions</t>
  </si>
  <si>
    <t>CCPs for which Method 2 is used</t>
  </si>
  <si>
    <t>RWA for both trade exposures and default fund contributions</t>
  </si>
  <si>
    <t>d) Additional data for exposures to qualifying CCPs</t>
  </si>
  <si>
    <t>Trade exposures; of which:</t>
  </si>
  <si>
    <t>Other deposits from members of an institutional network of cooperative banks</t>
  </si>
  <si>
    <t>Conditionally revocable and irrevocable liquidity facilities</t>
  </si>
  <si>
    <t>Conditionally revocable and irrevocable credit facilities</t>
  </si>
  <si>
    <t>Unconditionally revocable "uncommitted" liquidity facilities</t>
  </si>
  <si>
    <t>Unconditionally revocable "uncommitted" credit facilities</t>
  </si>
  <si>
    <t>Partial use</t>
  </si>
  <si>
    <t>Panel A</t>
  </si>
  <si>
    <t>Roll out vs permanent partial use</t>
  </si>
  <si>
    <t>Number of borrowers or recognised guarantors</t>
  </si>
  <si>
    <t>Exposure amounts post-CRM and post-CCF by year of migration to IRB</t>
  </si>
  <si>
    <t>Total exposure amounts post-CRM and post-CCF</t>
  </si>
  <si>
    <t>Share (in %) of consolidated exposure amounts</t>
  </si>
  <si>
    <t>Exposure amounts by risk weight</t>
  </si>
  <si>
    <t>RWA according to standardised approach</t>
  </si>
  <si>
    <t>Estimate of RWA under the IRB approaches</t>
  </si>
  <si>
    <t>Remarks</t>
  </si>
  <si>
    <t>Remainder of 2013</t>
  </si>
  <si>
    <t>After 2016</t>
  </si>
  <si>
    <t>&gt;0%
≤10%</t>
  </si>
  <si>
    <t>&gt;10%
≤20%</t>
  </si>
  <si>
    <t>&gt;20%
≤35%</t>
  </si>
  <si>
    <t>&gt;35%
≤50%</t>
  </si>
  <si>
    <t>&gt;50%
≤75%</t>
  </si>
  <si>
    <t>&gt;75%
≤100%</t>
  </si>
  <si>
    <t>&gt;100%
≤150%</t>
  </si>
  <si>
    <t>&gt;150%
≤200%</t>
  </si>
  <si>
    <t>&gt;200%</t>
  </si>
  <si>
    <t>PPU</t>
  </si>
  <si>
    <t>RO</t>
  </si>
  <si>
    <t>Central governments and central banks</t>
  </si>
  <si>
    <t>Regional governments or local authorities</t>
  </si>
  <si>
    <t>Administrative bodies and non-commercial undertakings/PSEs</t>
  </si>
  <si>
    <t>Multilateral development banks</t>
  </si>
  <si>
    <t>International organisations</t>
  </si>
  <si>
    <t>Banks; of which:</t>
  </si>
  <si>
    <t>Banks weighted according to option 1</t>
  </si>
  <si>
    <t>Banks weighted according to option 2</t>
  </si>
  <si>
    <t>Covered bonds</t>
  </si>
  <si>
    <t>Multilateral development banks not qualifying for a 0% risk weight</t>
  </si>
  <si>
    <t>Corporates</t>
  </si>
  <si>
    <t>Regulatory retail portfolios</t>
  </si>
  <si>
    <r>
      <t xml:space="preserve">of which: expected exposure amounts allocated to the IRB asset class </t>
    </r>
    <r>
      <rPr>
        <b/>
        <sz val="10"/>
        <rFont val="Arial"/>
        <family val="2"/>
      </rPr>
      <t>Corporate</t>
    </r>
    <r>
      <rPr>
        <sz val="10"/>
        <rFont val="Arial"/>
        <family val="2"/>
      </rPr>
      <t xml:space="preserve"> after roll out period</t>
    </r>
  </si>
  <si>
    <r>
      <t xml:space="preserve">of which: expected exposure amounts allocated to the IRB asset class </t>
    </r>
    <r>
      <rPr>
        <b/>
        <sz val="10"/>
        <rFont val="Arial"/>
        <family val="2"/>
      </rPr>
      <t>Retail</t>
    </r>
    <r>
      <rPr>
        <sz val="10"/>
        <rFont val="Arial"/>
        <family val="2"/>
      </rPr>
      <t xml:space="preserve"> after roll out period</t>
    </r>
  </si>
  <si>
    <t>Claims secured by residential property</t>
  </si>
  <si>
    <r>
      <t xml:space="preserve">of which: expected exposure amounts allocated to the IRB </t>
    </r>
    <r>
      <rPr>
        <b/>
        <sz val="10"/>
        <rFont val="Arial"/>
        <family val="2"/>
      </rPr>
      <t>Retail</t>
    </r>
    <r>
      <rPr>
        <sz val="10"/>
        <rFont val="Arial"/>
        <family val="2"/>
      </rPr>
      <t xml:space="preserve"> asset class</t>
    </r>
  </si>
  <si>
    <t>Claims secured by commercial property</t>
  </si>
  <si>
    <t>Past due items</t>
  </si>
  <si>
    <t>Items belonging to regulatory high-risk categories (only if not assigned to other asset classes)</t>
  </si>
  <si>
    <r>
      <t>Other assets</t>
    </r>
    <r>
      <rPr>
        <sz val="10"/>
        <rFont val="Arial"/>
        <family val="2"/>
      </rPr>
      <t xml:space="preserve"> (including non-credit obligation assets); of which:</t>
    </r>
  </si>
  <si>
    <t>Equity exposures (excluding shares in funds/collective investment schemes; this includes exposures exempted from the IRB approach based on paragraphs 356 and 357 of the Basel II framework)</t>
  </si>
  <si>
    <t>Shares in funds/collective investment schemes 
(only shares in funds for which IRB look-through is not applied; where underlying assets of a fund via application of the look-through are risk weighted according to the partial use provisions, their exposures shall be assigned to the corresponding asset classes above; this includes shares in investment funds/collective investment undertakings excluded from the IRB approach based on paragraphs 356 and 357 of the Basel II framework)</t>
  </si>
  <si>
    <t>Residual values for leasing</t>
  </si>
  <si>
    <t>Other (eg fixed assets, gold bullion held in own vaults)</t>
  </si>
  <si>
    <t>Failed free-deliveries for trading book-only counterparties (including where the fallback 100% risk weight is applied (paragraph 6 of Annex 3 of the Basel II framework))</t>
  </si>
  <si>
    <t>Total exposure amount post CRM and post-CCF under permanent partial use</t>
  </si>
  <si>
    <t>Total exposure amount post CRM and post-CCF under roll out</t>
  </si>
  <si>
    <t>Total exposure amount post CRM and post-CCF under partial use</t>
  </si>
  <si>
    <t>Total risk-weighted assets under permanent partial use</t>
  </si>
  <si>
    <t>Total risk-weighted assets under under roll out</t>
  </si>
  <si>
    <t>Total risk-weighted assets under partial use</t>
  </si>
  <si>
    <t>Panel B: Exposures explicitly exempted from IRB approach</t>
  </si>
  <si>
    <t>Exposures before CCF and CRM</t>
  </si>
  <si>
    <t>Trade exposures to CCPs</t>
  </si>
  <si>
    <t>Check total exposure amounts</t>
  </si>
  <si>
    <t>Domestic surcharges, total capital</t>
  </si>
  <si>
    <t>Domestic surcharges, Tier 1 capital</t>
  </si>
  <si>
    <t>Domestic surcharges, CET1 capital</t>
  </si>
  <si>
    <t xml:space="preserve">The Basel III implementation monitoring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</si>
  <si>
    <t>Red marks to the right of the panels indicate changes or new rows compared to the previous version of the workbook.</t>
  </si>
  <si>
    <t>S3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</si>
</sst>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00"/>
    <numFmt numFmtId="166" formatCode="0.0000"/>
    <numFmt numFmtId="167" formatCode="0.0000%"/>
    <numFmt numFmtId="168" formatCode="yyyy\-mm\-dd;@"/>
    <numFmt numFmtId="169" formatCode="[&gt;0]General"/>
    <numFmt numFmtId="170" formatCode="&quot;Yes&quot;;[Red]&quot;No&quot;"/>
    <numFmt numFmtId="171" formatCode="0.0%"/>
  </numFmts>
  <fonts count="37" x14ac:knownFonts="1">
    <font>
      <sz val="10"/>
      <name val="Arial"/>
      <family val="2"/>
    </font>
    <font>
      <sz val="10"/>
      <name val="Arial"/>
      <family val="2"/>
    </font>
    <font>
      <b/>
      <sz val="12"/>
      <name val="Arial"/>
      <family val="2"/>
    </font>
    <font>
      <b/>
      <sz val="10"/>
      <name val="Arial"/>
      <family val="2"/>
    </font>
    <font>
      <sz val="10"/>
      <color indexed="10"/>
      <name val="Arial"/>
      <family val="2"/>
    </font>
    <font>
      <b/>
      <sz val="20"/>
      <name val="Arial"/>
      <family val="2"/>
    </font>
    <font>
      <b/>
      <sz val="10"/>
      <color indexed="10"/>
      <name val="Arial"/>
      <family val="2"/>
    </font>
    <font>
      <sz val="10"/>
      <color indexed="9"/>
      <name val="Arial"/>
      <family val="2"/>
    </font>
    <font>
      <sz val="8"/>
      <name val="Arial"/>
      <family val="2"/>
    </font>
    <font>
      <sz val="10"/>
      <name val="Arial"/>
      <family val="2"/>
    </font>
    <font>
      <b/>
      <sz val="12"/>
      <color indexed="10"/>
      <name val="Arial"/>
      <family val="2"/>
    </font>
    <font>
      <sz val="14"/>
      <name val="Arial"/>
      <family val="2"/>
    </font>
    <font>
      <sz val="10"/>
      <color indexed="8"/>
      <name val="Arial"/>
      <family val="2"/>
    </font>
    <font>
      <b/>
      <sz val="10"/>
      <color indexed="8"/>
      <name val="Arial"/>
      <family val="2"/>
    </font>
    <font>
      <b/>
      <i/>
      <u/>
      <sz val="10"/>
      <color indexed="8"/>
      <name val="Arial"/>
      <family val="2"/>
    </font>
    <font>
      <b/>
      <i/>
      <sz val="10"/>
      <color indexed="8"/>
      <name val="Arial"/>
      <family val="2"/>
    </font>
    <font>
      <b/>
      <sz val="12"/>
      <color indexed="8"/>
      <name val="Arial"/>
      <family val="2"/>
    </font>
    <font>
      <sz val="10"/>
      <name val="Arial"/>
      <family val="2"/>
    </font>
    <font>
      <sz val="10"/>
      <name val="MS Sans Serif"/>
      <family val="2"/>
    </font>
    <font>
      <sz val="10"/>
      <color indexed="10"/>
      <name val="Arial"/>
      <family val="2"/>
    </font>
    <font>
      <b/>
      <i/>
      <sz val="10"/>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2"/>
      <name val="Arial"/>
      <family val="2"/>
    </font>
    <font>
      <sz val="10"/>
      <color rgb="FF008000"/>
      <name val="Arial"/>
      <family val="2"/>
    </font>
    <font>
      <b/>
      <sz val="16"/>
      <name val="Arial"/>
      <family val="2"/>
    </font>
    <font>
      <sz val="11"/>
      <color theme="1"/>
      <name val="Calibri"/>
      <family val="2"/>
      <scheme val="minor"/>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249977111117893"/>
        <bgColor indexed="64"/>
      </patternFill>
    </fill>
    <fill>
      <patternFill patternType="solid">
        <fgColor rgb="FFFFFF00"/>
        <bgColor indexed="64"/>
      </patternFill>
    </fill>
    <fill>
      <patternFill patternType="solid">
        <fgColor indexed="5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90">
    <xf numFmtId="0" fontId="0" fillId="0" borderId="0">
      <alignment vertical="center"/>
    </xf>
    <xf numFmtId="3" fontId="4" fillId="2" borderId="1" applyFont="0" applyFill="0" applyProtection="0">
      <alignment horizontal="right" vertical="center"/>
    </xf>
    <xf numFmtId="0" fontId="1" fillId="2" borderId="1">
      <alignment horizontal="center" vertical="center"/>
    </xf>
    <xf numFmtId="0" fontId="1" fillId="3" borderId="1" applyNumberFormat="0" applyFont="0" applyBorder="0">
      <alignment horizontal="center" vertical="center"/>
    </xf>
    <xf numFmtId="0" fontId="5" fillId="2" borderId="2" applyNumberFormat="0" applyFill="0" applyBorder="0" applyAlignment="0" applyProtection="0">
      <alignment horizontal="left"/>
    </xf>
    <xf numFmtId="0" fontId="2" fillId="0" borderId="0" applyNumberFormat="0" applyFill="0" applyBorder="0" applyAlignment="0" applyProtection="0"/>
    <xf numFmtId="0" fontId="3" fillId="2" borderId="3" applyFont="0" applyBorder="0">
      <alignment horizontal="center" wrapText="1"/>
    </xf>
    <xf numFmtId="3" fontId="1" fillId="4" borderId="1" applyFont="0" applyProtection="0">
      <alignment horizontal="right" vertical="center"/>
    </xf>
    <xf numFmtId="10" fontId="1" fillId="4" borderId="1" applyFont="0" applyProtection="0">
      <alignment horizontal="right" vertical="center"/>
    </xf>
    <xf numFmtId="9" fontId="1" fillId="4" borderId="1" applyFont="0" applyProtection="0">
      <alignment horizontal="right" vertical="center"/>
    </xf>
    <xf numFmtId="0" fontId="1" fillId="4" borderId="3" applyNumberFormat="0" applyFont="0" applyBorder="0" applyProtection="0">
      <alignment horizontal="left" vertical="center"/>
    </xf>
    <xf numFmtId="168" fontId="1" fillId="5" borderId="1" applyFont="0">
      <alignment vertical="center"/>
      <protection locked="0"/>
    </xf>
    <xf numFmtId="3" fontId="1" fillId="5" borderId="1" applyFont="0">
      <alignment horizontal="right" vertical="center"/>
      <protection locked="0"/>
    </xf>
    <xf numFmtId="164" fontId="1" fillId="5" borderId="1" applyFont="0">
      <alignment horizontal="right" vertical="center"/>
      <protection locked="0"/>
    </xf>
    <xf numFmtId="166" fontId="1" fillId="6" borderId="1" applyFont="0">
      <alignment vertical="center"/>
      <protection locked="0"/>
    </xf>
    <xf numFmtId="10" fontId="1" fillId="5" borderId="1" applyFont="0">
      <alignment horizontal="right" vertical="center"/>
      <protection locked="0"/>
    </xf>
    <xf numFmtId="9" fontId="1" fillId="5" borderId="4" applyFont="0">
      <alignment horizontal="right" vertical="center"/>
      <protection locked="0"/>
    </xf>
    <xf numFmtId="167" fontId="1" fillId="5" borderId="1" applyFont="0">
      <alignment horizontal="right" vertical="center"/>
      <protection locked="0"/>
    </xf>
    <xf numFmtId="171" fontId="1" fillId="5" borderId="4" applyFont="0">
      <alignment horizontal="right" vertical="center"/>
      <protection locked="0"/>
    </xf>
    <xf numFmtId="0" fontId="1" fillId="5" borderId="1" applyFont="0">
      <alignment horizontal="center" vertical="center" wrapText="1"/>
      <protection locked="0"/>
    </xf>
    <xf numFmtId="49" fontId="1" fillId="5" borderId="1" applyFont="0">
      <alignment vertical="center"/>
      <protection locked="0"/>
    </xf>
    <xf numFmtId="3" fontId="1" fillId="7" borderId="1" applyFont="0">
      <alignment horizontal="right" vertical="center"/>
      <protection locked="0"/>
    </xf>
    <xf numFmtId="164" fontId="1" fillId="7" borderId="1" applyFont="0">
      <alignment horizontal="right" vertical="center"/>
      <protection locked="0"/>
    </xf>
    <xf numFmtId="10" fontId="1" fillId="7" borderId="1" applyFont="0">
      <alignment horizontal="right" vertical="center"/>
      <protection locked="0"/>
    </xf>
    <xf numFmtId="9" fontId="1" fillId="7" borderId="1" applyFont="0">
      <alignment horizontal="right" vertical="center"/>
      <protection locked="0"/>
    </xf>
    <xf numFmtId="167" fontId="1" fillId="7" borderId="1" applyFont="0">
      <alignment horizontal="right" vertical="center"/>
      <protection locked="0"/>
    </xf>
    <xf numFmtId="171" fontId="1" fillId="7" borderId="4" applyFont="0">
      <alignment horizontal="right" vertical="center"/>
      <protection locked="0"/>
    </xf>
    <xf numFmtId="0" fontId="1" fillId="7" borderId="1" applyFont="0">
      <alignment horizontal="center" vertical="center" wrapText="1"/>
      <protection locked="0"/>
    </xf>
    <xf numFmtId="0" fontId="1" fillId="7" borderId="1" applyNumberFormat="0" applyFont="0">
      <alignment horizontal="center" vertical="center" wrapText="1"/>
      <protection locked="0"/>
    </xf>
    <xf numFmtId="3" fontId="1" fillId="8" borderId="1" applyFont="0">
      <alignment horizontal="right" vertical="center"/>
      <protection locked="0"/>
    </xf>
    <xf numFmtId="170" fontId="1" fillId="2" borderId="1" applyFont="0">
      <alignment horizontal="center" vertical="center"/>
    </xf>
    <xf numFmtId="3" fontId="1" fillId="2" borderId="1" applyFont="0">
      <alignment horizontal="right" vertical="center"/>
    </xf>
    <xf numFmtId="165" fontId="1" fillId="2" borderId="1" applyFont="0">
      <alignment horizontal="right" vertical="center"/>
    </xf>
    <xf numFmtId="164" fontId="1" fillId="2" borderId="1" applyFont="0">
      <alignment horizontal="right" vertical="center"/>
    </xf>
    <xf numFmtId="10" fontId="1" fillId="2" borderId="1" applyFont="0">
      <alignment horizontal="right" vertical="center"/>
    </xf>
    <xf numFmtId="9" fontId="1" fillId="2" borderId="1" applyFont="0">
      <alignment horizontal="right" vertical="center"/>
    </xf>
    <xf numFmtId="169" fontId="1" fillId="2" borderId="1" applyFont="0">
      <alignment horizontal="center" vertical="center" wrapText="1"/>
    </xf>
    <xf numFmtId="168" fontId="1" fillId="9" borderId="1" applyFont="0">
      <alignment vertical="center"/>
    </xf>
    <xf numFmtId="1" fontId="1" fillId="9" borderId="1" applyFont="0">
      <alignment horizontal="right" vertical="center"/>
    </xf>
    <xf numFmtId="166" fontId="1" fillId="9" borderId="1" applyFont="0">
      <alignment vertical="center"/>
    </xf>
    <xf numFmtId="9" fontId="1" fillId="9" borderId="1" applyFont="0">
      <alignment horizontal="right" vertical="center"/>
    </xf>
    <xf numFmtId="167" fontId="1" fillId="9" borderId="1" applyFont="0">
      <alignment horizontal="right" vertical="center"/>
    </xf>
    <xf numFmtId="10" fontId="1" fillId="9" borderId="1" applyFont="0">
      <alignment horizontal="right" vertical="center"/>
    </xf>
    <xf numFmtId="0" fontId="1" fillId="9" borderId="1" applyFont="0">
      <alignment horizontal="center" vertical="center" wrapText="1"/>
    </xf>
    <xf numFmtId="49" fontId="1" fillId="9" borderId="1" applyFont="0">
      <alignment vertical="center"/>
    </xf>
    <xf numFmtId="166" fontId="1" fillId="10" borderId="1" applyFont="0">
      <alignment vertical="center"/>
    </xf>
    <xf numFmtId="9" fontId="1" fillId="10" borderId="1" applyFont="0">
      <alignment horizontal="right" vertical="center"/>
    </xf>
    <xf numFmtId="168" fontId="1" fillId="11" borderId="1">
      <alignment vertical="center"/>
    </xf>
    <xf numFmtId="166" fontId="1" fillId="12" borderId="1" applyFont="0">
      <alignment horizontal="right" vertical="center"/>
    </xf>
    <xf numFmtId="1" fontId="1" fillId="12" borderId="1" applyFont="0">
      <alignment horizontal="right" vertical="center"/>
    </xf>
    <xf numFmtId="166" fontId="1" fillId="12" borderId="1" applyFont="0">
      <alignment vertical="center"/>
    </xf>
    <xf numFmtId="164" fontId="1" fillId="12" borderId="1" applyFont="0">
      <alignment vertical="center"/>
    </xf>
    <xf numFmtId="10" fontId="1" fillId="12" borderId="1" applyFont="0">
      <alignment horizontal="right" vertical="center"/>
    </xf>
    <xf numFmtId="9" fontId="1" fillId="12" borderId="1" applyFont="0">
      <alignment horizontal="right" vertical="center"/>
    </xf>
    <xf numFmtId="167" fontId="1" fillId="12" borderId="1" applyFont="0">
      <alignment horizontal="right" vertical="center"/>
    </xf>
    <xf numFmtId="10" fontId="1" fillId="12" borderId="5" applyFont="0">
      <alignment horizontal="right" vertical="center"/>
    </xf>
    <xf numFmtId="0" fontId="1" fillId="12" borderId="1" applyFont="0">
      <alignment horizontal="center" vertical="center" wrapText="1"/>
    </xf>
    <xf numFmtId="49" fontId="1" fillId="12" borderId="1" applyFont="0">
      <alignment vertical="center"/>
    </xf>
    <xf numFmtId="0" fontId="21" fillId="0" borderId="0" applyNumberFormat="0" applyFill="0" applyBorder="0" applyAlignment="0" applyProtection="0"/>
    <xf numFmtId="0" fontId="22" fillId="0" borderId="16" applyNumberFormat="0" applyFill="0" applyAlignment="0" applyProtection="0"/>
    <xf numFmtId="0" fontId="22" fillId="0" borderId="0" applyNumberFormat="0" applyFill="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6" fillId="18" borderId="17" applyNumberFormat="0" applyAlignment="0" applyProtection="0"/>
    <xf numFmtId="0" fontId="27" fillId="19" borderId="18" applyNumberFormat="0" applyAlignment="0" applyProtection="0"/>
    <xf numFmtId="0" fontId="28" fillId="19" borderId="17" applyNumberFormat="0" applyAlignment="0" applyProtection="0"/>
    <xf numFmtId="0" fontId="29" fillId="0" borderId="19" applyNumberFormat="0" applyFill="0" applyAlignment="0" applyProtection="0"/>
    <xf numFmtId="0" fontId="30" fillId="20" borderId="20" applyNumberFormat="0" applyAlignment="0" applyProtection="0"/>
    <xf numFmtId="0" fontId="31" fillId="0" borderId="0" applyNumberFormat="0" applyFill="0" applyBorder="0" applyAlignment="0" applyProtection="0"/>
    <xf numFmtId="0" fontId="32" fillId="0" borderId="21" applyNumberFormat="0" applyFill="0" applyAlignment="0" applyProtection="0"/>
    <xf numFmtId="0" fontId="21" fillId="0" borderId="0" applyNumberFormat="0" applyFill="0" applyBorder="0" applyAlignment="0" applyProtection="0"/>
    <xf numFmtId="0" fontId="22" fillId="0" borderId="16" applyNumberFormat="0" applyFill="0" applyAlignment="0" applyProtection="0"/>
    <xf numFmtId="0" fontId="22" fillId="0" borderId="0" applyNumberFormat="0" applyFill="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6" fillId="18" borderId="17" applyNumberFormat="0" applyAlignment="0" applyProtection="0"/>
    <xf numFmtId="0" fontId="27" fillId="19" borderId="18" applyNumberFormat="0" applyAlignment="0" applyProtection="0"/>
    <xf numFmtId="0" fontId="28" fillId="19" borderId="17" applyNumberFormat="0" applyAlignment="0" applyProtection="0"/>
    <xf numFmtId="0" fontId="29" fillId="0" borderId="19" applyNumberFormat="0" applyFill="0" applyAlignment="0" applyProtection="0"/>
    <xf numFmtId="0" fontId="30" fillId="20" borderId="20" applyNumberFormat="0" applyAlignment="0" applyProtection="0"/>
    <xf numFmtId="0" fontId="31" fillId="0" borderId="0" applyNumberFormat="0" applyFill="0" applyBorder="0" applyAlignment="0" applyProtection="0"/>
    <xf numFmtId="0" fontId="32" fillId="0" borderId="21" applyNumberFormat="0" applyFill="0" applyAlignment="0" applyProtection="0"/>
    <xf numFmtId="9" fontId="1" fillId="0" borderId="0" applyFont="0" applyFill="0" applyBorder="0" applyAlignment="0" applyProtection="0"/>
    <xf numFmtId="0" fontId="1" fillId="0" borderId="0">
      <alignment vertical="center"/>
    </xf>
    <xf numFmtId="0" fontId="5" fillId="2" borderId="2" applyNumberFormat="0" applyFill="0" applyBorder="0" applyAlignment="0" applyProtection="0">
      <alignment horizontal="left"/>
    </xf>
    <xf numFmtId="0" fontId="2" fillId="0" borderId="0" applyNumberFormat="0" applyFill="0" applyBorder="0" applyAlignment="0" applyProtection="0"/>
    <xf numFmtId="0" fontId="36" fillId="0" borderId="0"/>
    <xf numFmtId="0" fontId="1" fillId="0" borderId="0">
      <alignment vertical="center"/>
    </xf>
  </cellStyleXfs>
  <cellXfs count="888">
    <xf numFmtId="0" fontId="0" fillId="2" borderId="0" xfId="0" applyFill="1">
      <alignment vertical="center"/>
    </xf>
    <xf numFmtId="0" fontId="19" fillId="0" borderId="3" xfId="0" applyFont="1" applyBorder="1" applyAlignment="1">
      <alignment horizontal="left" vertical="top" indent="5"/>
    </xf>
    <xf numFmtId="3" fontId="13" fillId="2" borderId="1" xfId="31" applyFont="1">
      <alignment horizontal="right" vertical="center"/>
    </xf>
    <xf numFmtId="9" fontId="12" fillId="4" borderId="1" xfId="9" applyFont="1" applyProtection="1">
      <alignment horizontal="right" vertical="center"/>
    </xf>
    <xf numFmtId="3" fontId="1" fillId="2" borderId="1" xfId="0" quotePrefix="1" applyNumberFormat="1" applyFont="1" applyFill="1" applyBorder="1" applyAlignment="1">
      <alignment horizontal="right" vertical="center"/>
    </xf>
    <xf numFmtId="0" fontId="1" fillId="4" borderId="3" xfId="10" applyFont="1" applyBorder="1">
      <alignment horizontal="left" vertical="center"/>
    </xf>
    <xf numFmtId="0" fontId="1" fillId="3" borderId="1" xfId="3" applyFont="1" applyBorder="1">
      <alignment horizontal="center" vertical="center"/>
    </xf>
    <xf numFmtId="3" fontId="1" fillId="0" borderId="1" xfId="31" applyFont="1" applyFill="1" applyBorder="1" applyAlignment="1">
      <alignment horizontal="right" vertical="center"/>
    </xf>
    <xf numFmtId="0" fontId="1" fillId="3" borderId="6" xfId="3" applyBorder="1" applyAlignment="1" applyProtection="1">
      <alignment vertical="center" wrapText="1"/>
    </xf>
    <xf numFmtId="0" fontId="1" fillId="2" borderId="3" xfId="0" applyFont="1" applyFill="1" applyBorder="1" applyAlignment="1" applyProtection="1">
      <alignment vertical="center" wrapText="1"/>
    </xf>
    <xf numFmtId="3" fontId="1" fillId="2" borderId="1" xfId="31" applyFont="1" applyBorder="1" applyAlignment="1">
      <alignment horizontal="right" vertical="center"/>
    </xf>
    <xf numFmtId="0" fontId="1" fillId="3" borderId="4" xfId="3" applyBorder="1" applyAlignment="1" applyProtection="1">
      <alignment vertical="center" wrapText="1"/>
    </xf>
    <xf numFmtId="3" fontId="1" fillId="2" borderId="1" xfId="31" applyFont="1" applyFill="1" applyBorder="1" applyAlignment="1">
      <alignment horizontal="right" vertical="center"/>
    </xf>
    <xf numFmtId="0" fontId="1" fillId="2" borderId="3" xfId="0" applyFont="1" applyFill="1" applyBorder="1" applyAlignment="1" applyProtection="1">
      <alignment horizontal="left" vertical="center" wrapText="1"/>
    </xf>
    <xf numFmtId="0" fontId="1" fillId="3" borderId="1" xfId="3" applyBorder="1" applyAlignment="1" applyProtection="1">
      <alignment vertical="center" wrapText="1"/>
    </xf>
    <xf numFmtId="0" fontId="1" fillId="2" borderId="7" xfId="0" applyFont="1" applyFill="1" applyBorder="1" applyAlignment="1" applyProtection="1">
      <alignment vertical="center"/>
    </xf>
    <xf numFmtId="0" fontId="0" fillId="2" borderId="3" xfId="0" applyFont="1" applyFill="1" applyBorder="1" applyAlignment="1">
      <alignment horizontal="left" vertical="center"/>
    </xf>
    <xf numFmtId="0" fontId="1" fillId="4" borderId="3" xfId="10" applyFont="1" applyBorder="1" applyAlignment="1" applyProtection="1">
      <alignment vertical="center" wrapText="1"/>
    </xf>
    <xf numFmtId="3" fontId="1" fillId="4" borderId="1" xfId="7" applyFont="1" applyBorder="1" applyAlignment="1">
      <alignment horizontal="right" vertical="center"/>
    </xf>
    <xf numFmtId="0" fontId="3" fillId="2" borderId="3" xfId="0" applyFont="1" applyFill="1" applyBorder="1" applyAlignment="1" applyProtection="1">
      <alignment horizontal="left" vertical="center" wrapText="1"/>
    </xf>
    <xf numFmtId="0" fontId="0" fillId="2" borderId="1" xfId="0" applyFont="1" applyFill="1" applyBorder="1" applyAlignment="1">
      <alignment horizontal="center" vertical="center"/>
    </xf>
    <xf numFmtId="0" fontId="3" fillId="2" borderId="1" xfId="0" applyFont="1" applyFill="1" applyBorder="1" applyAlignment="1" applyProtection="1">
      <alignment horizontal="center" vertical="center"/>
    </xf>
    <xf numFmtId="0" fontId="0" fillId="2" borderId="0" xfId="0" applyFont="1" applyFill="1" applyAlignment="1">
      <alignment vertical="center"/>
    </xf>
    <xf numFmtId="0" fontId="1" fillId="2" borderId="0" xfId="0" applyFont="1" applyFill="1" applyBorder="1" applyAlignment="1" applyProtection="1">
      <alignment vertical="center"/>
    </xf>
    <xf numFmtId="0" fontId="0" fillId="2" borderId="8" xfId="0" applyFont="1" applyFill="1" applyBorder="1" applyAlignment="1">
      <alignment vertical="center"/>
    </xf>
    <xf numFmtId="0" fontId="0" fillId="2" borderId="0" xfId="0" applyFont="1" applyFill="1" applyBorder="1" applyAlignment="1">
      <alignment vertical="center"/>
    </xf>
    <xf numFmtId="0" fontId="0" fillId="2" borderId="2" xfId="0" applyFont="1" applyFill="1" applyBorder="1" applyAlignment="1">
      <alignment vertical="center"/>
    </xf>
    <xf numFmtId="0" fontId="3" fillId="2" borderId="2" xfId="5" applyFont="1" applyFill="1" applyBorder="1" applyAlignment="1" applyProtection="1">
      <alignment horizontal="left"/>
    </xf>
    <xf numFmtId="0" fontId="1" fillId="2" borderId="0" xfId="0" applyFont="1" applyFill="1" applyProtection="1">
      <alignment vertical="center"/>
    </xf>
    <xf numFmtId="0" fontId="1" fillId="2" borderId="0" xfId="0" applyFont="1" applyFill="1" applyBorder="1" applyProtection="1">
      <alignment vertical="center"/>
    </xf>
    <xf numFmtId="0" fontId="1" fillId="2" borderId="8" xfId="0" applyFont="1" applyFill="1" applyBorder="1" applyProtection="1">
      <alignment vertical="center"/>
    </xf>
    <xf numFmtId="0" fontId="1" fillId="2" borderId="2" xfId="0" applyFont="1" applyFill="1" applyBorder="1" applyAlignment="1" applyProtection="1">
      <alignment horizontal="left"/>
    </xf>
    <xf numFmtId="0" fontId="1" fillId="2" borderId="9" xfId="0" applyFont="1" applyFill="1" applyBorder="1" applyProtection="1">
      <alignment vertical="center"/>
    </xf>
    <xf numFmtId="0" fontId="2" fillId="2" borderId="0" xfId="5" applyFill="1" applyBorder="1" applyAlignment="1" applyProtection="1">
      <alignment horizontal="left"/>
    </xf>
    <xf numFmtId="0" fontId="2" fillId="2" borderId="0" xfId="5" applyFill="1" applyBorder="1" applyProtection="1"/>
    <xf numFmtId="0" fontId="2" fillId="2" borderId="0" xfId="5" applyFill="1" applyProtection="1"/>
    <xf numFmtId="0" fontId="2" fillId="2" borderId="10" xfId="5" applyFill="1" applyBorder="1" applyProtection="1"/>
    <xf numFmtId="0" fontId="2" fillId="2" borderId="11" xfId="5" applyFill="1" applyBorder="1" applyProtection="1"/>
    <xf numFmtId="0" fontId="2" fillId="2" borderId="5" xfId="5" applyFill="1" applyBorder="1" applyProtection="1"/>
    <xf numFmtId="0" fontId="1" fillId="3" borderId="1" xfId="3" applyFont="1" applyBorder="1" applyProtection="1">
      <alignment horizontal="center" vertical="center"/>
    </xf>
    <xf numFmtId="0" fontId="2" fillId="2" borderId="11" xfId="5" applyFill="1" applyBorder="1" applyAlignment="1" applyProtection="1">
      <alignment horizontal="left"/>
    </xf>
    <xf numFmtId="0" fontId="2" fillId="2" borderId="11" xfId="5" applyFill="1" applyBorder="1" applyAlignment="1" applyProtection="1"/>
    <xf numFmtId="0" fontId="2" fillId="2" borderId="9" xfId="5" applyFill="1" applyBorder="1" applyProtection="1"/>
    <xf numFmtId="0" fontId="2" fillId="2" borderId="3" xfId="5" applyFont="1" applyFill="1" applyBorder="1" applyProtection="1"/>
    <xf numFmtId="0" fontId="2" fillId="2" borderId="2" xfId="5" applyFont="1" applyFill="1" applyBorder="1" applyAlignment="1" applyProtection="1">
      <alignment horizontal="left"/>
    </xf>
    <xf numFmtId="0" fontId="2" fillId="2" borderId="8" xfId="5" applyFill="1" applyBorder="1" applyProtection="1"/>
    <xf numFmtId="0" fontId="0" fillId="2" borderId="10" xfId="0" applyFont="1" applyFill="1" applyBorder="1" applyProtection="1">
      <alignment vertical="center"/>
    </xf>
    <xf numFmtId="0" fontId="2" fillId="2" borderId="3" xfId="5" applyFont="1" applyFill="1" applyBorder="1" applyAlignment="1" applyProtection="1">
      <alignment horizontal="left"/>
    </xf>
    <xf numFmtId="0" fontId="5" fillId="2" borderId="11" xfId="0" applyFont="1" applyFill="1" applyBorder="1">
      <alignment vertical="center"/>
    </xf>
    <xf numFmtId="0" fontId="0" fillId="2" borderId="11" xfId="0" applyFont="1" applyFill="1" applyBorder="1">
      <alignment vertical="center"/>
    </xf>
    <xf numFmtId="0" fontId="0" fillId="2" borderId="0" xfId="0" applyFont="1" applyFill="1" applyBorder="1">
      <alignment vertical="center"/>
    </xf>
    <xf numFmtId="0" fontId="0" fillId="2" borderId="12" xfId="0" applyFont="1" applyFill="1" applyBorder="1" applyProtection="1">
      <alignment vertical="center"/>
    </xf>
    <xf numFmtId="0" fontId="2" fillId="2" borderId="3" xfId="5" applyFont="1" applyFill="1" applyBorder="1"/>
    <xf numFmtId="0" fontId="2" fillId="2" borderId="12" xfId="5" applyFont="1" applyFill="1" applyBorder="1" applyProtection="1"/>
    <xf numFmtId="0" fontId="0" fillId="2" borderId="8" xfId="0" applyFont="1" applyFill="1" applyBorder="1">
      <alignment vertical="center"/>
    </xf>
    <xf numFmtId="0" fontId="0" fillId="2" borderId="10" xfId="0" applyFont="1" applyFill="1" applyBorder="1">
      <alignment vertical="center"/>
    </xf>
    <xf numFmtId="0" fontId="0" fillId="2" borderId="9" xfId="0" applyFont="1" applyFill="1" applyBorder="1">
      <alignment vertical="center"/>
    </xf>
    <xf numFmtId="0" fontId="0" fillId="2" borderId="2" xfId="0" applyFont="1" applyFill="1" applyBorder="1">
      <alignment vertical="center"/>
    </xf>
    <xf numFmtId="0" fontId="3" fillId="2" borderId="1" xfId="0" applyFont="1" applyFill="1" applyBorder="1" applyAlignment="1" applyProtection="1">
      <alignment horizontal="center" vertical="center" wrapText="1"/>
    </xf>
    <xf numFmtId="0" fontId="0" fillId="2" borderId="5" xfId="0" applyFont="1" applyFill="1" applyBorder="1">
      <alignment vertical="center"/>
    </xf>
    <xf numFmtId="0" fontId="3" fillId="2" borderId="1" xfId="0" applyFont="1" applyFill="1" applyBorder="1" applyAlignment="1">
      <alignment horizontal="center" wrapText="1"/>
    </xf>
    <xf numFmtId="0" fontId="0" fillId="2" borderId="7" xfId="0" applyFont="1" applyFill="1" applyBorder="1">
      <alignment vertical="center"/>
    </xf>
    <xf numFmtId="0" fontId="5" fillId="2" borderId="3" xfId="4" applyFont="1" applyFill="1" applyBorder="1" applyAlignment="1"/>
    <xf numFmtId="0" fontId="5" fillId="2" borderId="11" xfId="4" applyFill="1" applyBorder="1" applyAlignment="1"/>
    <xf numFmtId="0" fontId="5" fillId="2" borderId="5" xfId="4" applyFill="1" applyBorder="1" applyAlignment="1"/>
    <xf numFmtId="0" fontId="5" fillId="2" borderId="0" xfId="4" applyFill="1" applyBorder="1" applyAlignment="1"/>
    <xf numFmtId="0" fontId="5" fillId="2" borderId="3" xfId="4" applyFill="1" applyBorder="1" applyAlignment="1"/>
    <xf numFmtId="0" fontId="5" fillId="2" borderId="7" xfId="4" applyFill="1" applyBorder="1" applyAlignment="1"/>
    <xf numFmtId="0" fontId="11" fillId="2" borderId="11" xfId="4" applyFont="1" applyFill="1" applyBorder="1" applyAlignment="1"/>
    <xf numFmtId="0" fontId="0" fillId="2" borderId="13" xfId="0" applyFont="1" applyFill="1" applyBorder="1">
      <alignment vertical="center"/>
    </xf>
    <xf numFmtId="0" fontId="0" fillId="2" borderId="0" xfId="0" applyFont="1" applyFill="1" applyAlignment="1">
      <alignment wrapText="1"/>
    </xf>
    <xf numFmtId="0" fontId="5" fillId="2" borderId="10" xfId="0" applyFont="1" applyFill="1" applyBorder="1">
      <alignment vertical="center"/>
    </xf>
    <xf numFmtId="0" fontId="5" fillId="2" borderId="11" xfId="4" applyFont="1" applyFill="1" applyBorder="1" applyAlignment="1"/>
    <xf numFmtId="0" fontId="9" fillId="2" borderId="11" xfId="0" applyFont="1" applyFill="1" applyBorder="1">
      <alignment vertical="center"/>
    </xf>
    <xf numFmtId="0" fontId="9" fillId="2" borderId="0" xfId="0" applyFont="1" applyFill="1" applyBorder="1">
      <alignment vertical="center"/>
    </xf>
    <xf numFmtId="0" fontId="9" fillId="2" borderId="10" xfId="0" applyFont="1" applyFill="1" applyBorder="1" applyProtection="1">
      <alignment vertical="center"/>
    </xf>
    <xf numFmtId="0" fontId="9" fillId="2" borderId="0" xfId="0" applyFont="1" applyFill="1" applyProtection="1">
      <alignment vertical="center"/>
    </xf>
    <xf numFmtId="3" fontId="1" fillId="2" borderId="14" xfId="1" applyFont="1" applyBorder="1" applyAlignment="1" applyProtection="1">
      <alignment horizontal="center" vertical="center"/>
    </xf>
    <xf numFmtId="3" fontId="1" fillId="2" borderId="1" xfId="1" applyFont="1" applyBorder="1" applyAlignment="1" applyProtection="1">
      <alignment horizontal="center" vertical="center"/>
    </xf>
    <xf numFmtId="0" fontId="1" fillId="3" borderId="1" xfId="3" applyFont="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2" fillId="2" borderId="0" xfId="5" applyFont="1" applyFill="1" applyBorder="1" applyAlignment="1" applyProtection="1">
      <alignment horizontal="left"/>
    </xf>
    <xf numFmtId="0" fontId="5" fillId="2" borderId="0" xfId="0" applyFont="1" applyFill="1" applyBorder="1">
      <alignment vertical="center"/>
    </xf>
    <xf numFmtId="3" fontId="1" fillId="2" borderId="0" xfId="31" applyFont="1" applyBorder="1">
      <alignment horizontal="right" vertical="center"/>
    </xf>
    <xf numFmtId="3" fontId="1" fillId="4" borderId="1" xfId="7" applyBorder="1" applyAlignment="1">
      <alignment horizontal="center"/>
    </xf>
    <xf numFmtId="0" fontId="2" fillId="2" borderId="11" xfId="5" applyFont="1" applyFill="1" applyBorder="1"/>
    <xf numFmtId="0" fontId="0" fillId="2" borderId="12" xfId="0" applyFont="1" applyFill="1" applyBorder="1">
      <alignment vertical="center"/>
    </xf>
    <xf numFmtId="3" fontId="1" fillId="2" borderId="10" xfId="31" applyFont="1" applyBorder="1">
      <alignment horizontal="right" vertical="center"/>
    </xf>
    <xf numFmtId="0" fontId="0" fillId="2" borderId="3" xfId="0" applyFont="1" applyFill="1" applyBorder="1" applyAlignment="1" applyProtection="1">
      <alignment horizontal="left" vertical="center" wrapText="1"/>
    </xf>
    <xf numFmtId="0" fontId="1" fillId="3" borderId="14" xfId="3" applyBorder="1" applyAlignment="1" applyProtection="1">
      <alignment vertical="center" wrapText="1"/>
    </xf>
    <xf numFmtId="0" fontId="3" fillId="4" borderId="3" xfId="10" applyFont="1" applyBorder="1" applyAlignment="1" applyProtection="1">
      <alignment vertical="center" wrapText="1"/>
    </xf>
    <xf numFmtId="0" fontId="1" fillId="2" borderId="3" xfId="0" applyFont="1" applyFill="1" applyBorder="1" applyAlignment="1" applyProtection="1">
      <alignment horizontal="left" vertical="center" wrapText="1" indent="1"/>
    </xf>
    <xf numFmtId="0" fontId="1" fillId="3" borderId="6" xfId="3" applyFill="1" applyBorder="1" applyAlignment="1" applyProtection="1">
      <alignment vertical="center" wrapText="1"/>
    </xf>
    <xf numFmtId="0" fontId="0" fillId="3" borderId="6" xfId="0" applyFont="1" applyFill="1" applyBorder="1" applyAlignment="1">
      <alignment vertical="center"/>
    </xf>
    <xf numFmtId="0" fontId="0" fillId="3" borderId="14" xfId="0" applyFont="1" applyFill="1" applyBorder="1" applyAlignment="1">
      <alignment vertical="center"/>
    </xf>
    <xf numFmtId="0" fontId="1" fillId="2" borderId="0" xfId="0" applyFont="1" applyFill="1" applyBorder="1" applyAlignment="1" applyProtection="1">
      <alignment vertical="center" wrapText="1"/>
    </xf>
    <xf numFmtId="0" fontId="2" fillId="2" borderId="0" xfId="5" applyFill="1" applyBorder="1" applyAlignment="1" applyProtection="1">
      <alignment vertical="center"/>
    </xf>
    <xf numFmtId="0" fontId="3" fillId="2" borderId="3" xfId="0" applyFont="1" applyFill="1" applyBorder="1" applyAlignment="1" applyProtection="1">
      <alignment vertical="center" wrapText="1"/>
    </xf>
    <xf numFmtId="0" fontId="1" fillId="3" borderId="1" xfId="3" applyBorder="1" applyAlignment="1" applyProtection="1">
      <alignment horizontal="center" vertical="center" wrapText="1"/>
    </xf>
    <xf numFmtId="0" fontId="3" fillId="2" borderId="3" xfId="0" applyFont="1" applyFill="1" applyBorder="1" applyAlignment="1" applyProtection="1">
      <alignment vertical="center"/>
    </xf>
    <xf numFmtId="0" fontId="1" fillId="2" borderId="1" xfId="0" applyFont="1" applyFill="1" applyBorder="1" applyAlignment="1" applyProtection="1">
      <alignment horizontal="center" vertical="center"/>
    </xf>
    <xf numFmtId="0" fontId="0" fillId="2" borderId="3" xfId="0" applyFont="1" applyFill="1" applyBorder="1" applyAlignment="1" applyProtection="1">
      <alignment vertical="center"/>
    </xf>
    <xf numFmtId="0" fontId="1" fillId="3" borderId="4" xfId="3" applyBorder="1" applyAlignment="1" applyProtection="1">
      <alignment horizontal="center" vertical="center" wrapText="1"/>
    </xf>
    <xf numFmtId="0" fontId="1" fillId="3" borderId="14" xfId="3" applyBorder="1" applyAlignment="1" applyProtection="1">
      <alignment horizontal="center" vertical="center" wrapText="1"/>
    </xf>
    <xf numFmtId="0" fontId="1" fillId="2" borderId="3" xfId="0" applyFont="1" applyFill="1" applyBorder="1" applyAlignment="1" applyProtection="1">
      <alignment horizontal="left" vertical="center"/>
    </xf>
    <xf numFmtId="0" fontId="1" fillId="3" borderId="6" xfId="3" applyBorder="1" applyAlignment="1" applyProtection="1">
      <alignment horizontal="center" vertical="center" wrapText="1"/>
    </xf>
    <xf numFmtId="0" fontId="0" fillId="2" borderId="3" xfId="0" applyFont="1" applyFill="1" applyBorder="1" applyAlignment="1" applyProtection="1">
      <alignment horizontal="left" vertical="center" wrapText="1" indent="1"/>
    </xf>
    <xf numFmtId="0" fontId="3" fillId="2" borderId="3" xfId="0" applyFont="1" applyFill="1" applyBorder="1" applyAlignment="1" applyProtection="1">
      <alignment horizontal="left" vertical="center" wrapText="1" indent="1"/>
    </xf>
    <xf numFmtId="0" fontId="3" fillId="2" borderId="3" xfId="0" applyFont="1" applyFill="1" applyBorder="1" applyAlignment="1" applyProtection="1">
      <alignment horizontal="left" vertical="center" indent="1"/>
    </xf>
    <xf numFmtId="0" fontId="0" fillId="2" borderId="3" xfId="0" applyFont="1" applyFill="1" applyBorder="1" applyAlignment="1">
      <alignment vertical="center"/>
    </xf>
    <xf numFmtId="0" fontId="1" fillId="2" borderId="3" xfId="0" applyFont="1" applyFill="1" applyBorder="1" applyAlignment="1">
      <alignment horizontal="left" vertical="center" indent="1"/>
    </xf>
    <xf numFmtId="0" fontId="3" fillId="2" borderId="3" xfId="0" applyFont="1" applyFill="1" applyBorder="1" applyAlignment="1">
      <alignment vertical="center"/>
    </xf>
    <xf numFmtId="0" fontId="3" fillId="2" borderId="3"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0" fillId="2" borderId="0" xfId="0" applyFont="1" applyFill="1" applyBorder="1" applyAlignment="1" applyProtection="1">
      <alignment vertical="center" wrapText="1"/>
    </xf>
    <xf numFmtId="0" fontId="1" fillId="2" borderId="3" xfId="0" applyFont="1" applyFill="1" applyBorder="1" applyAlignment="1" applyProtection="1">
      <alignment horizontal="left" vertical="center" indent="1"/>
    </xf>
    <xf numFmtId="3" fontId="1" fillId="2" borderId="1" xfId="31" applyNumberFormat="1" applyFont="1" applyBorder="1" applyAlignment="1">
      <alignment horizontal="right" vertical="center"/>
    </xf>
    <xf numFmtId="0" fontId="1" fillId="2" borderId="3" xfId="0" applyFont="1" applyFill="1" applyBorder="1" applyAlignment="1" applyProtection="1">
      <alignment vertical="center"/>
    </xf>
    <xf numFmtId="0" fontId="1" fillId="0" borderId="3" xfId="0" applyFont="1" applyFill="1" applyBorder="1" applyAlignment="1" applyProtection="1">
      <alignment vertical="center"/>
    </xf>
    <xf numFmtId="0" fontId="2" fillId="2" borderId="11" xfId="5" applyFill="1" applyBorder="1"/>
    <xf numFmtId="0" fontId="2" fillId="2" borderId="11" xfId="5" applyFill="1" applyBorder="1" applyAlignment="1">
      <alignment vertical="center"/>
    </xf>
    <xf numFmtId="0" fontId="2" fillId="2" borderId="5" xfId="5" applyFill="1" applyBorder="1" applyAlignment="1">
      <alignment vertical="center"/>
    </xf>
    <xf numFmtId="0" fontId="2" fillId="2" borderId="0" xfId="5" applyFill="1" applyAlignment="1">
      <alignment vertical="center"/>
    </xf>
    <xf numFmtId="0" fontId="3" fillId="2" borderId="2" xfId="5" applyFont="1" applyFill="1" applyBorder="1" applyAlignment="1" applyProtection="1">
      <alignment horizontal="left" vertical="center"/>
    </xf>
    <xf numFmtId="0" fontId="3" fillId="2" borderId="0" xfId="5" applyFont="1" applyFill="1" applyBorder="1" applyAlignment="1" applyProtection="1">
      <alignment horizontal="left" vertical="center"/>
    </xf>
    <xf numFmtId="0" fontId="1" fillId="2" borderId="2" xfId="0" applyFont="1" applyFill="1" applyBorder="1" applyAlignment="1" applyProtection="1">
      <alignment horizontal="left" vertical="center"/>
    </xf>
    <xf numFmtId="168" fontId="1" fillId="5" borderId="1" xfId="11" applyFont="1" applyBorder="1" applyAlignment="1" applyProtection="1">
      <alignment vertical="center"/>
      <protection locked="0"/>
    </xf>
    <xf numFmtId="49" fontId="1" fillId="5" borderId="1" xfId="20" applyFont="1" applyBorder="1" applyAlignment="1" applyProtection="1">
      <alignment horizontal="right" vertical="center"/>
      <protection locked="0"/>
    </xf>
    <xf numFmtId="3" fontId="1" fillId="5" borderId="1" xfId="12" applyFont="1" applyBorder="1" applyAlignment="1">
      <alignment horizontal="right" vertical="center"/>
      <protection locked="0"/>
    </xf>
    <xf numFmtId="0" fontId="1" fillId="2" borderId="3" xfId="0" applyFont="1" applyFill="1" applyBorder="1" applyAlignment="1">
      <alignment vertical="center"/>
    </xf>
    <xf numFmtId="0" fontId="1" fillId="5" borderId="1" xfId="19" applyFont="1" applyBorder="1" applyAlignment="1" applyProtection="1">
      <alignment horizontal="center" vertical="center" wrapText="1"/>
      <protection locked="0"/>
    </xf>
    <xf numFmtId="0" fontId="3" fillId="2" borderId="2" xfId="0" applyFont="1" applyFill="1" applyBorder="1" applyAlignment="1" applyProtection="1">
      <alignment vertical="center"/>
    </xf>
    <xf numFmtId="0" fontId="0" fillId="2" borderId="10" xfId="0" applyFont="1" applyFill="1" applyBorder="1" applyAlignment="1">
      <alignment vertical="center"/>
    </xf>
    <xf numFmtId="0" fontId="3" fillId="2" borderId="0" xfId="0" applyFont="1" applyFill="1" applyBorder="1" applyAlignment="1" applyProtection="1">
      <alignment vertical="center"/>
    </xf>
    <xf numFmtId="0" fontId="3" fillId="2" borderId="1" xfId="5" applyFont="1" applyFill="1" applyBorder="1" applyAlignment="1" applyProtection="1">
      <alignment horizontal="center" vertical="center"/>
    </xf>
    <xf numFmtId="0" fontId="0" fillId="2" borderId="8" xfId="0" applyFont="1" applyFill="1" applyBorder="1" applyAlignment="1" applyProtection="1">
      <alignment vertical="center"/>
    </xf>
    <xf numFmtId="3" fontId="1" fillId="5" borderId="1" xfId="12" applyFont="1" applyBorder="1" applyAlignment="1" applyProtection="1">
      <alignment horizontal="right" vertical="center"/>
      <protection locked="0"/>
    </xf>
    <xf numFmtId="0" fontId="3" fillId="2" borderId="12" xfId="0" applyFont="1" applyFill="1" applyBorder="1" applyAlignment="1" applyProtection="1">
      <alignment vertical="center"/>
    </xf>
    <xf numFmtId="0" fontId="1" fillId="2" borderId="10" xfId="0" applyFont="1" applyFill="1" applyBorder="1" applyAlignment="1" applyProtection="1">
      <alignment vertical="center"/>
    </xf>
    <xf numFmtId="0" fontId="0" fillId="2" borderId="9" xfId="0" applyFont="1" applyFill="1" applyBorder="1" applyAlignment="1" applyProtection="1">
      <alignment vertical="center"/>
    </xf>
    <xf numFmtId="0" fontId="1" fillId="2" borderId="3" xfId="0" applyFont="1" applyFill="1" applyBorder="1" applyAlignment="1" applyProtection="1">
      <alignment horizontal="left" vertical="center" wrapText="1" indent="2"/>
    </xf>
    <xf numFmtId="0" fontId="0" fillId="2" borderId="7" xfId="0" applyFont="1" applyFill="1" applyBorder="1" applyAlignment="1">
      <alignment vertical="center"/>
    </xf>
    <xf numFmtId="3" fontId="1" fillId="7" borderId="1" xfId="21" applyAlignment="1">
      <alignment horizontal="right" vertical="center"/>
      <protection locked="0"/>
    </xf>
    <xf numFmtId="3" fontId="0" fillId="2" borderId="1" xfId="31" applyFont="1" applyBorder="1" applyAlignment="1">
      <alignment horizontal="right" vertical="center"/>
    </xf>
    <xf numFmtId="0" fontId="1" fillId="2" borderId="2" xfId="0" applyFont="1" applyFill="1" applyBorder="1" applyAlignment="1" applyProtection="1">
      <alignment vertical="center"/>
    </xf>
    <xf numFmtId="0" fontId="0" fillId="2" borderId="3" xfId="0" applyFont="1" applyFill="1" applyBorder="1" applyAlignment="1" applyProtection="1">
      <alignment horizontal="left" vertical="center"/>
    </xf>
    <xf numFmtId="0" fontId="2" fillId="2" borderId="8" xfId="5" applyFill="1" applyBorder="1" applyAlignment="1" applyProtection="1">
      <alignment vertical="center"/>
    </xf>
    <xf numFmtId="0" fontId="3" fillId="2" borderId="1" xfId="0" applyFont="1" applyFill="1" applyBorder="1" applyAlignment="1">
      <alignment vertical="center"/>
    </xf>
    <xf numFmtId="0" fontId="1" fillId="2" borderId="3" xfId="0" applyFont="1" applyFill="1" applyBorder="1" applyAlignment="1">
      <alignment horizontal="left" vertical="center"/>
    </xf>
    <xf numFmtId="0" fontId="3" fillId="2" borderId="1" xfId="5" applyFont="1" applyFill="1" applyBorder="1" applyAlignment="1" applyProtection="1">
      <alignment horizontal="center" vertical="center" wrapText="1"/>
    </xf>
    <xf numFmtId="0" fontId="1" fillId="2" borderId="1" xfId="0" applyFont="1" applyFill="1" applyBorder="1" applyAlignment="1">
      <alignment vertical="center"/>
    </xf>
    <xf numFmtId="3" fontId="0" fillId="4" borderId="5" xfId="7" applyFont="1" applyBorder="1" applyAlignment="1">
      <alignment horizontal="right" vertical="center"/>
    </xf>
    <xf numFmtId="0" fontId="1" fillId="2" borderId="12" xfId="0" applyFont="1" applyFill="1" applyBorder="1" applyAlignment="1" applyProtection="1">
      <alignment vertical="center"/>
    </xf>
    <xf numFmtId="0" fontId="0" fillId="2" borderId="3" xfId="0" applyFont="1" applyFill="1" applyBorder="1" applyAlignment="1" applyProtection="1">
      <alignment horizontal="left" vertical="center" indent="1"/>
    </xf>
    <xf numFmtId="0" fontId="1" fillId="2" borderId="3" xfId="0" applyFont="1" applyFill="1" applyBorder="1" applyAlignment="1" applyProtection="1">
      <alignment horizontal="left" vertical="center" indent="2"/>
    </xf>
    <xf numFmtId="0" fontId="1" fillId="2" borderId="8" xfId="0" applyFont="1" applyFill="1" applyBorder="1" applyAlignment="1" applyProtection="1">
      <alignment vertical="center"/>
    </xf>
    <xf numFmtId="0" fontId="1" fillId="2" borderId="0" xfId="0" applyFont="1" applyFill="1" applyAlignment="1" applyProtection="1">
      <alignment vertical="center"/>
    </xf>
    <xf numFmtId="0" fontId="1" fillId="2" borderId="5" xfId="0" applyFont="1" applyFill="1" applyBorder="1" applyAlignment="1" applyProtection="1">
      <alignment vertical="center"/>
    </xf>
    <xf numFmtId="0" fontId="7" fillId="2" borderId="8" xfId="0" applyFont="1" applyFill="1" applyBorder="1" applyAlignment="1" applyProtection="1">
      <alignment horizontal="center" vertical="center"/>
    </xf>
    <xf numFmtId="0" fontId="0" fillId="2" borderId="12" xfId="0" applyFont="1" applyFill="1" applyBorder="1" applyAlignment="1" applyProtection="1">
      <alignment vertical="center"/>
    </xf>
    <xf numFmtId="0" fontId="0" fillId="2" borderId="10" xfId="0" applyFont="1" applyFill="1" applyBorder="1" applyAlignment="1" applyProtection="1">
      <alignment vertical="center"/>
    </xf>
    <xf numFmtId="0" fontId="1" fillId="2" borderId="9" xfId="0" applyFont="1" applyFill="1" applyBorder="1" applyAlignment="1" applyProtection="1">
      <alignment vertical="center"/>
    </xf>
    <xf numFmtId="0" fontId="1" fillId="2" borderId="15" xfId="0" applyFont="1" applyFill="1" applyBorder="1" applyAlignment="1" applyProtection="1">
      <alignment vertical="center"/>
    </xf>
    <xf numFmtId="0" fontId="3" fillId="2" borderId="1" xfId="0" applyFont="1" applyFill="1" applyBorder="1" applyAlignment="1" applyProtection="1">
      <alignment vertical="center"/>
    </xf>
    <xf numFmtId="0" fontId="1" fillId="2" borderId="1" xfId="0" applyFont="1" applyFill="1" applyBorder="1" applyAlignment="1" applyProtection="1">
      <alignment vertical="center"/>
    </xf>
    <xf numFmtId="0" fontId="1" fillId="9" borderId="3" xfId="44" applyNumberFormat="1" applyFont="1" applyBorder="1" applyAlignment="1" applyProtection="1">
      <alignment vertical="center"/>
    </xf>
    <xf numFmtId="0" fontId="1" fillId="9" borderId="11" xfId="44" applyNumberFormat="1" applyFont="1" applyBorder="1" applyAlignment="1" applyProtection="1">
      <alignment vertical="center"/>
    </xf>
    <xf numFmtId="0" fontId="1" fillId="9" borderId="5" xfId="44" applyNumberFormat="1" applyFont="1" applyBorder="1" applyAlignment="1" applyProtection="1">
      <alignment vertical="center"/>
    </xf>
    <xf numFmtId="49" fontId="1" fillId="12" borderId="1" xfId="57" applyFont="1" applyBorder="1" applyAlignment="1" applyProtection="1">
      <alignment vertical="center"/>
    </xf>
    <xf numFmtId="49" fontId="1" fillId="12" borderId="10" xfId="57" applyFont="1" applyBorder="1" applyAlignment="1" applyProtection="1">
      <alignment horizontal="left" vertical="center"/>
    </xf>
    <xf numFmtId="49" fontId="1" fillId="12" borderId="9" xfId="57" applyFont="1" applyBorder="1" applyAlignment="1" applyProtection="1">
      <alignment horizontal="left" vertical="center"/>
    </xf>
    <xf numFmtId="0" fontId="1" fillId="2" borderId="13" xfId="0" applyFont="1" applyFill="1" applyBorder="1" applyAlignment="1" applyProtection="1">
      <alignment vertical="center"/>
    </xf>
    <xf numFmtId="0" fontId="3" fillId="2" borderId="4" xfId="0" applyFont="1" applyFill="1" applyBorder="1" applyAlignment="1" applyProtection="1">
      <alignment vertical="center"/>
    </xf>
    <xf numFmtId="0" fontId="1" fillId="2" borderId="7" xfId="0" applyFont="1" applyFill="1" applyBorder="1" applyAlignment="1" applyProtection="1">
      <alignment horizontal="center" vertical="center"/>
    </xf>
    <xf numFmtId="0" fontId="1" fillId="2" borderId="15"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13" xfId="0" applyFont="1" applyFill="1" applyBorder="1" applyAlignment="1" applyProtection="1">
      <alignment horizontal="left" vertical="center"/>
    </xf>
    <xf numFmtId="0" fontId="0" fillId="2" borderId="0"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11" xfId="0" applyFont="1" applyFill="1" applyBorder="1" applyAlignment="1" applyProtection="1">
      <alignment horizontal="left" vertical="center"/>
    </xf>
    <xf numFmtId="0" fontId="1" fillId="2" borderId="5" xfId="0" applyFont="1" applyFill="1" applyBorder="1" applyAlignment="1" applyProtection="1">
      <alignment horizontal="left" vertical="center"/>
    </xf>
    <xf numFmtId="0" fontId="1" fillId="2" borderId="11" xfId="0" applyFont="1" applyFill="1" applyBorder="1" applyAlignment="1" applyProtection="1">
      <alignment horizontal="center" vertical="center"/>
    </xf>
    <xf numFmtId="0" fontId="3" fillId="2" borderId="6" xfId="0" applyFont="1" applyFill="1" applyBorder="1" applyAlignment="1" applyProtection="1">
      <alignment vertical="center"/>
    </xf>
    <xf numFmtId="0" fontId="1" fillId="2" borderId="6" xfId="0" applyFont="1" applyFill="1" applyBorder="1" applyAlignment="1" applyProtection="1">
      <alignment vertical="center"/>
    </xf>
    <xf numFmtId="0" fontId="1" fillId="2" borderId="1" xfId="0" applyFont="1" applyFill="1" applyBorder="1" applyAlignment="1">
      <alignment horizontal="left" vertical="center" indent="1"/>
    </xf>
    <xf numFmtId="0" fontId="0" fillId="2" borderId="3" xfId="0" applyFont="1" applyFill="1" applyBorder="1" applyAlignment="1">
      <alignment horizontal="left" vertical="center" indent="1"/>
    </xf>
    <xf numFmtId="0" fontId="1" fillId="2" borderId="3" xfId="0" applyFont="1" applyFill="1" applyBorder="1" applyAlignment="1">
      <alignment horizontal="left" vertical="center" wrapText="1" indent="1"/>
    </xf>
    <xf numFmtId="15" fontId="11" fillId="2" borderId="7" xfId="4" applyNumberFormat="1" applyFont="1" applyFill="1" applyBorder="1" applyAlignment="1"/>
    <xf numFmtId="0" fontId="1" fillId="0" borderId="3" xfId="0" applyFont="1" applyFill="1" applyBorder="1" applyAlignment="1" applyProtection="1">
      <alignment horizontal="left" vertical="center" indent="1"/>
    </xf>
    <xf numFmtId="0" fontId="3" fillId="2" borderId="3" xfId="0" applyFont="1" applyFill="1" applyBorder="1" applyAlignment="1">
      <alignment vertical="center" wrapText="1"/>
    </xf>
    <xf numFmtId="0" fontId="2" fillId="2" borderId="0" xfId="5" applyFill="1" applyBorder="1"/>
    <xf numFmtId="0" fontId="2" fillId="2" borderId="0" xfId="5" applyFill="1" applyBorder="1" applyAlignment="1">
      <alignment vertical="center"/>
    </xf>
    <xf numFmtId="0" fontId="2" fillId="2" borderId="8" xfId="5" applyFill="1" applyBorder="1" applyAlignment="1">
      <alignment vertical="center"/>
    </xf>
    <xf numFmtId="0" fontId="3" fillId="2" borderId="0" xfId="5" applyFont="1" applyFill="1" applyBorder="1"/>
    <xf numFmtId="3" fontId="1" fillId="2" borderId="1" xfId="31" applyFont="1">
      <alignment horizontal="right" vertical="center"/>
    </xf>
    <xf numFmtId="0" fontId="3" fillId="2" borderId="0" xfId="0" applyFont="1" applyFill="1" applyBorder="1" applyAlignment="1" applyProtection="1">
      <alignment vertical="center" wrapText="1"/>
    </xf>
    <xf numFmtId="0" fontId="1" fillId="2" borderId="11" xfId="0" applyFont="1" applyFill="1" applyBorder="1">
      <alignment vertical="center"/>
    </xf>
    <xf numFmtId="0" fontId="3" fillId="2" borderId="1" xfId="6" applyFont="1" applyFill="1" applyBorder="1" applyAlignment="1">
      <alignment horizontal="center" vertical="center" wrapText="1"/>
    </xf>
    <xf numFmtId="0" fontId="3" fillId="2" borderId="5" xfId="6" applyFont="1" applyFill="1" applyBorder="1" applyAlignment="1">
      <alignment horizontal="center" vertical="center" wrapText="1"/>
    </xf>
    <xf numFmtId="0" fontId="0" fillId="2" borderId="9" xfId="0" applyFont="1" applyFill="1" applyBorder="1" applyAlignment="1">
      <alignment vertical="center"/>
    </xf>
    <xf numFmtId="0" fontId="1" fillId="2" borderId="7" xfId="0" applyFont="1" applyFill="1" applyBorder="1" applyAlignment="1">
      <alignment vertical="center"/>
    </xf>
    <xf numFmtId="0" fontId="1" fillId="2" borderId="0" xfId="0" applyFont="1" applyFill="1" applyBorder="1" applyAlignment="1">
      <alignment vertical="center"/>
    </xf>
    <xf numFmtId="0" fontId="1" fillId="2" borderId="0" xfId="0" quotePrefix="1" applyFont="1" applyFill="1" applyBorder="1" applyAlignment="1">
      <alignment horizontal="right" vertical="center"/>
    </xf>
    <xf numFmtId="0" fontId="1" fillId="2" borderId="10"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1" fillId="2" borderId="11" xfId="0" applyFont="1" applyFill="1" applyBorder="1" applyAlignment="1">
      <alignment vertical="center"/>
    </xf>
    <xf numFmtId="3" fontId="1" fillId="2" borderId="0" xfId="0" applyNumberFormat="1" applyFont="1" applyFill="1" applyBorder="1" applyAlignment="1" applyProtection="1">
      <alignment horizontal="right" vertical="center"/>
    </xf>
    <xf numFmtId="0" fontId="1" fillId="2" borderId="3" xfId="0" applyFont="1" applyFill="1" applyBorder="1" applyAlignment="1">
      <alignment vertical="center" wrapText="1"/>
    </xf>
    <xf numFmtId="0" fontId="1" fillId="2" borderId="5" xfId="0" applyFont="1" applyFill="1" applyBorder="1" applyAlignment="1">
      <alignment horizontal="left" vertical="center" indent="1"/>
    </xf>
    <xf numFmtId="0" fontId="1" fillId="2" borderId="9" xfId="0" applyFont="1" applyFill="1" applyBorder="1" applyAlignment="1">
      <alignment horizontal="left" vertical="center" indent="1"/>
    </xf>
    <xf numFmtId="3" fontId="12" fillId="5" borderId="1" xfId="12" applyNumberFormat="1" applyFont="1" applyBorder="1" applyAlignment="1" applyProtection="1">
      <alignment horizontal="right"/>
      <protection locked="0"/>
    </xf>
    <xf numFmtId="3" fontId="13" fillId="3" borderId="1" xfId="3" applyNumberFormat="1" applyFont="1" applyBorder="1" applyAlignment="1" applyProtection="1">
      <alignment horizontal="right" wrapText="1"/>
    </xf>
    <xf numFmtId="0" fontId="16" fillId="2" borderId="0" xfId="5" applyFont="1" applyFill="1" applyBorder="1" applyAlignment="1" applyProtection="1">
      <alignment horizontal="left"/>
    </xf>
    <xf numFmtId="0" fontId="16" fillId="2" borderId="0" xfId="5" applyFont="1" applyFill="1" applyBorder="1" applyAlignment="1" applyProtection="1">
      <alignment horizontal="center"/>
    </xf>
    <xf numFmtId="3" fontId="16" fillId="2" borderId="0" xfId="5" applyNumberFormat="1" applyFont="1" applyFill="1" applyBorder="1" applyAlignment="1" applyProtection="1">
      <alignment horizontal="right"/>
    </xf>
    <xf numFmtId="2" fontId="16" fillId="2" borderId="0" xfId="5" applyNumberFormat="1" applyFont="1" applyFill="1" applyBorder="1" applyAlignment="1" applyProtection="1">
      <alignment horizontal="left"/>
    </xf>
    <xf numFmtId="3" fontId="12" fillId="5" borderId="1" xfId="12" applyFont="1" applyBorder="1" applyProtection="1">
      <alignment horizontal="right" vertical="center"/>
      <protection locked="0"/>
    </xf>
    <xf numFmtId="0" fontId="12" fillId="2" borderId="7" xfId="0" applyFont="1" applyFill="1" applyBorder="1" applyAlignment="1" applyProtection="1">
      <alignment horizontal="left" wrapText="1"/>
    </xf>
    <xf numFmtId="0" fontId="12" fillId="2" borderId="7" xfId="0" applyFont="1" applyFill="1" applyBorder="1" applyAlignment="1" applyProtection="1">
      <alignment horizontal="center" wrapText="1"/>
    </xf>
    <xf numFmtId="0" fontId="12" fillId="2" borderId="0" xfId="0" applyFont="1" applyFill="1" applyBorder="1" applyAlignment="1" applyProtection="1">
      <alignment horizontal="left" wrapText="1" indent="1"/>
    </xf>
    <xf numFmtId="0" fontId="12" fillId="2" borderId="0" xfId="0" applyFont="1" applyFill="1" applyBorder="1" applyAlignment="1" applyProtection="1">
      <alignment horizontal="center" wrapText="1"/>
    </xf>
    <xf numFmtId="0" fontId="13" fillId="2" borderId="2" xfId="0" applyFont="1" applyFill="1" applyBorder="1" applyAlignment="1">
      <alignment horizontal="left"/>
    </xf>
    <xf numFmtId="0" fontId="12" fillId="0" borderId="1" xfId="0" applyFont="1" applyFill="1" applyBorder="1" applyAlignment="1" applyProtection="1">
      <alignment vertical="center" wrapText="1"/>
    </xf>
    <xf numFmtId="0" fontId="2" fillId="2" borderId="2" xfId="5" applyFont="1" applyFill="1" applyBorder="1"/>
    <xf numFmtId="0" fontId="14" fillId="2" borderId="0" xfId="0" applyFont="1" applyFill="1" applyBorder="1">
      <alignment vertical="center"/>
    </xf>
    <xf numFmtId="0" fontId="14" fillId="2" borderId="0" xfId="0" applyFont="1" applyFill="1" applyBorder="1" applyAlignment="1">
      <alignment horizontal="center"/>
    </xf>
    <xf numFmtId="3" fontId="12" fillId="2" borderId="0" xfId="0" applyNumberFormat="1" applyFont="1" applyFill="1" applyBorder="1" applyAlignment="1">
      <alignment horizontal="right"/>
    </xf>
    <xf numFmtId="0" fontId="12" fillId="2" borderId="0" xfId="0" applyFont="1" applyFill="1" applyBorder="1">
      <alignment vertical="center"/>
    </xf>
    <xf numFmtId="0" fontId="12" fillId="2" borderId="1" xfId="0" applyFont="1" applyFill="1" applyBorder="1" applyAlignment="1" applyProtection="1">
      <alignment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3"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0" xfId="0" applyFont="1" applyFill="1" applyBorder="1" applyAlignment="1" applyProtection="1">
      <alignment horizontal="center" vertical="center" wrapText="1"/>
    </xf>
    <xf numFmtId="0" fontId="1" fillId="2" borderId="10" xfId="0" applyFont="1" applyFill="1" applyBorder="1" applyProtection="1">
      <alignment vertical="center"/>
    </xf>
    <xf numFmtId="0" fontId="12" fillId="2" borderId="0" xfId="0" applyFont="1" applyFill="1" applyBorder="1" applyAlignment="1" applyProtection="1">
      <alignment vertical="center" wrapText="1"/>
    </xf>
    <xf numFmtId="3" fontId="13" fillId="3" borderId="1" xfId="3" applyNumberFormat="1" applyFont="1" applyBorder="1" applyProtection="1">
      <alignment horizontal="center" vertical="center"/>
    </xf>
    <xf numFmtId="0" fontId="15" fillId="2" borderId="9" xfId="0" applyFont="1" applyFill="1" applyBorder="1" applyAlignment="1" applyProtection="1">
      <alignment horizontal="left"/>
    </xf>
    <xf numFmtId="0" fontId="13" fillId="0" borderId="1" xfId="0" applyFont="1" applyFill="1" applyBorder="1" applyAlignment="1" applyProtection="1">
      <alignment horizontal="left" wrapText="1"/>
    </xf>
    <xf numFmtId="0" fontId="1" fillId="2" borderId="12" xfId="0" applyFont="1" applyFill="1" applyBorder="1" applyProtection="1">
      <alignment vertical="center"/>
    </xf>
    <xf numFmtId="0" fontId="12" fillId="4" borderId="11" xfId="10" applyFont="1" applyBorder="1" applyProtection="1">
      <alignment horizontal="left" vertical="center"/>
    </xf>
    <xf numFmtId="0" fontId="13" fillId="2" borderId="7" xfId="0" applyFont="1" applyFill="1" applyBorder="1" applyAlignment="1" applyProtection="1">
      <alignment wrapText="1"/>
    </xf>
    <xf numFmtId="0" fontId="12" fillId="2" borderId="10" xfId="0" applyFont="1" applyFill="1" applyBorder="1" applyAlignment="1" applyProtection="1">
      <alignment horizontal="left" wrapText="1" indent="1"/>
    </xf>
    <xf numFmtId="0" fontId="12" fillId="4" borderId="3" xfId="10" applyFont="1" applyBorder="1" applyProtection="1">
      <alignment horizontal="left" vertical="center"/>
    </xf>
    <xf numFmtId="0" fontId="12" fillId="2" borderId="10" xfId="0" applyFont="1" applyFill="1" applyBorder="1" applyAlignment="1" applyProtection="1">
      <alignment horizontal="center" wrapText="1"/>
    </xf>
    <xf numFmtId="3" fontId="13" fillId="2" borderId="11" xfId="3" applyNumberFormat="1" applyFont="1" applyFill="1" applyBorder="1" applyAlignment="1" applyProtection="1">
      <alignment horizontal="right" wrapText="1"/>
    </xf>
    <xf numFmtId="0" fontId="12" fillId="2" borderId="3" xfId="0" applyFont="1" applyFill="1" applyBorder="1" applyAlignment="1" applyProtection="1">
      <alignment vertical="center" wrapText="1"/>
    </xf>
    <xf numFmtId="2" fontId="3" fillId="3" borderId="1" xfId="0" applyNumberFormat="1" applyFont="1" applyFill="1" applyBorder="1" applyAlignment="1">
      <alignment horizontal="center"/>
    </xf>
    <xf numFmtId="0" fontId="12" fillId="2" borderId="11" xfId="0" applyFont="1" applyFill="1" applyBorder="1">
      <alignment vertical="center"/>
    </xf>
    <xf numFmtId="2" fontId="3" fillId="0" borderId="1" xfId="0" applyNumberFormat="1" applyFont="1" applyFill="1" applyBorder="1" applyAlignment="1">
      <alignment horizontal="center" vertical="center" wrapText="1"/>
    </xf>
    <xf numFmtId="0" fontId="12" fillId="2" borderId="1" xfId="0" applyFont="1" applyFill="1" applyBorder="1" applyAlignment="1" applyProtection="1">
      <alignment horizontal="left" vertical="center" wrapText="1" indent="1"/>
    </xf>
    <xf numFmtId="0" fontId="12" fillId="0" borderId="1" xfId="0" applyFont="1" applyFill="1" applyBorder="1" applyAlignment="1" applyProtection="1">
      <alignment horizontal="left" vertical="center" wrapText="1" indent="1"/>
    </xf>
    <xf numFmtId="0" fontId="13"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indent="2"/>
    </xf>
    <xf numFmtId="0" fontId="12" fillId="2" borderId="1" xfId="0" applyFont="1" applyFill="1" applyBorder="1" applyAlignment="1" applyProtection="1">
      <alignment horizontal="left" vertical="center" wrapText="1" indent="3"/>
    </xf>
    <xf numFmtId="0" fontId="12" fillId="2" borderId="1" xfId="0" applyFont="1" applyFill="1" applyBorder="1" applyAlignment="1" applyProtection="1">
      <alignment horizontal="left" vertical="center"/>
    </xf>
    <xf numFmtId="0" fontId="13" fillId="0" borderId="1" xfId="0" applyFont="1" applyFill="1" applyBorder="1" applyAlignment="1" applyProtection="1">
      <alignment horizontal="left" vertical="center" wrapText="1"/>
    </xf>
    <xf numFmtId="0" fontId="13" fillId="2" borderId="1" xfId="0" applyFont="1" applyFill="1" applyBorder="1" applyAlignment="1" applyProtection="1">
      <alignment vertical="center"/>
    </xf>
    <xf numFmtId="0" fontId="12" fillId="2" borderId="3" xfId="0" applyFont="1" applyFill="1" applyBorder="1" applyAlignment="1" applyProtection="1">
      <alignment horizontal="left" wrapText="1" indent="1"/>
    </xf>
    <xf numFmtId="0" fontId="3" fillId="2" borderId="1" xfId="6" applyFont="1" applyBorder="1" applyAlignment="1" applyProtection="1">
      <alignment horizontal="center" wrapText="1"/>
    </xf>
    <xf numFmtId="2" fontId="3" fillId="3" borderId="1" xfId="3" applyNumberFormat="1" applyFont="1" applyBorder="1">
      <alignment horizontal="center" vertical="center"/>
    </xf>
    <xf numFmtId="0" fontId="3" fillId="2" borderId="5" xfId="6" applyFont="1" applyBorder="1" applyAlignment="1" applyProtection="1">
      <alignment horizontal="center" wrapText="1"/>
    </xf>
    <xf numFmtId="0" fontId="5" fillId="2" borderId="15" xfId="4" applyFont="1" applyFill="1" applyBorder="1" applyAlignment="1"/>
    <xf numFmtId="0" fontId="0" fillId="2" borderId="2" xfId="0" applyFont="1" applyFill="1" applyBorder="1" applyAlignment="1" applyProtection="1">
      <alignment vertical="center"/>
    </xf>
    <xf numFmtId="0" fontId="0" fillId="2" borderId="5" xfId="0" applyFont="1" applyFill="1" applyBorder="1" applyAlignment="1" applyProtection="1">
      <alignment vertical="center"/>
    </xf>
    <xf numFmtId="0" fontId="5" fillId="2" borderId="7" xfId="4" applyFill="1" applyBorder="1" applyAlignment="1" applyProtection="1"/>
    <xf numFmtId="0" fontId="0" fillId="2" borderId="0" xfId="0" applyFont="1" applyFill="1" applyProtection="1">
      <alignment vertical="center"/>
    </xf>
    <xf numFmtId="0" fontId="1" fillId="2" borderId="11" xfId="0" applyFont="1" applyFill="1" applyBorder="1" applyProtection="1">
      <alignment vertical="center"/>
    </xf>
    <xf numFmtId="0" fontId="1" fillId="2" borderId="5" xfId="0" applyFont="1" applyFill="1" applyBorder="1" applyProtection="1">
      <alignment vertical="center"/>
    </xf>
    <xf numFmtId="0" fontId="2" fillId="2" borderId="0" xfId="5" applyFill="1" applyAlignment="1" applyProtection="1">
      <alignment vertical="center"/>
    </xf>
    <xf numFmtId="0" fontId="5" fillId="2" borderId="0" xfId="0" applyFont="1" applyFill="1" applyBorder="1" applyProtection="1">
      <alignment vertical="center"/>
    </xf>
    <xf numFmtId="3" fontId="1" fillId="2" borderId="0" xfId="31" applyFont="1" applyFill="1" applyBorder="1" applyProtection="1">
      <alignment horizontal="right" vertical="center"/>
    </xf>
    <xf numFmtId="0" fontId="0" fillId="2" borderId="0" xfId="0" applyFont="1" applyFill="1" applyBorder="1" applyProtection="1">
      <alignment vertical="center"/>
    </xf>
    <xf numFmtId="0" fontId="13" fillId="2" borderId="2" xfId="0" applyFont="1" applyFill="1" applyBorder="1" applyAlignment="1" applyProtection="1">
      <alignment horizontal="left"/>
    </xf>
    <xf numFmtId="0" fontId="14" fillId="2" borderId="0" xfId="0" applyFont="1" applyFill="1" applyBorder="1" applyProtection="1">
      <alignment vertical="center"/>
    </xf>
    <xf numFmtId="0" fontId="14" fillId="2" borderId="0" xfId="0" applyFont="1" applyFill="1" applyBorder="1" applyAlignment="1" applyProtection="1">
      <alignment horizontal="center"/>
    </xf>
    <xf numFmtId="3" fontId="12" fillId="2" borderId="0" xfId="0" applyNumberFormat="1" applyFont="1" applyFill="1" applyBorder="1" applyAlignment="1" applyProtection="1">
      <alignment horizontal="right"/>
    </xf>
    <xf numFmtId="0" fontId="12" fillId="2" borderId="0" xfId="0" applyFont="1" applyFill="1" applyBorder="1" applyProtection="1">
      <alignment vertical="center"/>
    </xf>
    <xf numFmtId="0" fontId="12" fillId="2" borderId="2" xfId="0" applyFont="1" applyFill="1" applyBorder="1" applyAlignment="1" applyProtection="1">
      <alignment horizontal="center"/>
    </xf>
    <xf numFmtId="0" fontId="3" fillId="2" borderId="9" xfId="0" applyFont="1" applyFill="1" applyBorder="1" applyAlignment="1" applyProtection="1">
      <alignment vertical="center"/>
    </xf>
    <xf numFmtId="0" fontId="3" fillId="2" borderId="1" xfId="6" applyFont="1" applyFill="1" applyBorder="1" applyAlignment="1" applyProtection="1">
      <alignment horizontal="center" vertical="center" wrapText="1"/>
    </xf>
    <xf numFmtId="0" fontId="12" fillId="2" borderId="2" xfId="0" applyFont="1" applyFill="1" applyBorder="1" applyAlignment="1" applyProtection="1">
      <alignment horizontal="left"/>
    </xf>
    <xf numFmtId="2" fontId="12" fillId="2" borderId="1" xfId="32" applyNumberFormat="1" applyFont="1" applyProtection="1">
      <alignment horizontal="right" vertical="center"/>
    </xf>
    <xf numFmtId="3" fontId="12" fillId="2" borderId="1" xfId="31" applyFont="1" applyProtection="1">
      <alignment horizontal="right" vertical="center"/>
    </xf>
    <xf numFmtId="3" fontId="13" fillId="2" borderId="1" xfId="31" applyFont="1" applyProtection="1">
      <alignment horizontal="right" vertical="center"/>
    </xf>
    <xf numFmtId="0" fontId="12" fillId="2" borderId="2" xfId="0" applyFont="1" applyFill="1" applyBorder="1" applyProtection="1">
      <alignment vertical="center"/>
    </xf>
    <xf numFmtId="2" fontId="13" fillId="3" borderId="1" xfId="3" applyNumberFormat="1" applyFont="1" applyBorder="1" applyAlignment="1" applyProtection="1">
      <alignment horizontal="center" wrapText="1"/>
    </xf>
    <xf numFmtId="3" fontId="13" fillId="3" borderId="1" xfId="3" applyNumberFormat="1" applyFont="1" applyBorder="1" applyAlignment="1" applyProtection="1">
      <alignment horizontal="center" wrapText="1"/>
    </xf>
    <xf numFmtId="0" fontId="12" fillId="2" borderId="2" xfId="0" applyFont="1" applyFill="1" applyBorder="1" applyAlignment="1" applyProtection="1">
      <alignment horizontal="left" wrapText="1"/>
    </xf>
    <xf numFmtId="2" fontId="13" fillId="3" borderId="1" xfId="3" applyNumberFormat="1" applyFont="1" applyFill="1" applyBorder="1" applyAlignment="1" applyProtection="1">
      <alignment horizontal="center" wrapText="1"/>
    </xf>
    <xf numFmtId="3" fontId="12" fillId="2" borderId="0" xfId="12" applyNumberFormat="1" applyFont="1" applyFill="1" applyBorder="1" applyAlignment="1" applyProtection="1">
      <alignment horizontal="right"/>
    </xf>
    <xf numFmtId="3" fontId="12" fillId="2" borderId="0" xfId="12" applyFont="1" applyFill="1" applyBorder="1" applyProtection="1">
      <alignment horizontal="right" vertical="center"/>
    </xf>
    <xf numFmtId="3" fontId="12" fillId="2" borderId="0" xfId="12" applyNumberFormat="1" applyFont="1" applyFill="1" applyBorder="1" applyProtection="1">
      <alignment horizontal="right" vertical="center"/>
    </xf>
    <xf numFmtId="0" fontId="12" fillId="2" borderId="6" xfId="0" applyFont="1" applyFill="1" applyBorder="1" applyAlignment="1" applyProtection="1">
      <alignment horizontal="left"/>
    </xf>
    <xf numFmtId="2" fontId="12" fillId="4" borderId="11" xfId="10" applyNumberFormat="1" applyFont="1" applyBorder="1" applyProtection="1">
      <alignment horizontal="left" vertical="center"/>
    </xf>
    <xf numFmtId="2" fontId="12" fillId="4" borderId="5" xfId="10" applyNumberFormat="1" applyFont="1" applyBorder="1" applyProtection="1">
      <alignment horizontal="left" vertical="center"/>
    </xf>
    <xf numFmtId="3" fontId="12" fillId="4" borderId="1" xfId="7" applyFont="1" applyProtection="1">
      <alignment horizontal="right" vertical="center"/>
    </xf>
    <xf numFmtId="0" fontId="12" fillId="2" borderId="0" xfId="0" applyNumberFormat="1" applyFont="1" applyFill="1" applyBorder="1" applyAlignment="1" applyProtection="1"/>
    <xf numFmtId="3" fontId="1" fillId="2" borderId="0" xfId="31" applyFont="1" applyBorder="1" applyProtection="1">
      <alignment horizontal="right" vertical="center"/>
    </xf>
    <xf numFmtId="2" fontId="12" fillId="2" borderId="0" xfId="12" applyNumberFormat="1" applyFont="1" applyFill="1" applyBorder="1" applyProtection="1">
      <alignment horizontal="right" vertical="center"/>
    </xf>
    <xf numFmtId="3" fontId="1" fillId="3" borderId="1" xfId="3" applyNumberFormat="1" applyFont="1" applyBorder="1" applyProtection="1">
      <alignment horizontal="center" vertical="center"/>
    </xf>
    <xf numFmtId="3" fontId="12" fillId="2" borderId="0" xfId="0" applyNumberFormat="1" applyFont="1" applyFill="1" applyBorder="1" applyProtection="1">
      <alignment vertical="center"/>
    </xf>
    <xf numFmtId="2" fontId="12" fillId="2" borderId="0" xfId="0" applyNumberFormat="1" applyFont="1" applyFill="1" applyBorder="1" applyProtection="1">
      <alignment vertical="center"/>
    </xf>
    <xf numFmtId="3" fontId="12" fillId="2" borderId="7" xfId="12" applyNumberFormat="1" applyFont="1" applyFill="1" applyBorder="1" applyAlignment="1" applyProtection="1">
      <alignment horizontal="right"/>
    </xf>
    <xf numFmtId="2" fontId="13" fillId="2" borderId="7" xfId="3" applyNumberFormat="1" applyFont="1" applyFill="1" applyBorder="1" applyAlignment="1" applyProtection="1">
      <alignment horizontal="center" wrapText="1"/>
    </xf>
    <xf numFmtId="0" fontId="12" fillId="2" borderId="11" xfId="0" applyFont="1" applyFill="1" applyBorder="1" applyProtection="1">
      <alignment vertical="center"/>
    </xf>
    <xf numFmtId="0" fontId="2" fillId="2" borderId="2" xfId="5" applyFont="1" applyFill="1" applyBorder="1" applyProtection="1"/>
    <xf numFmtId="0" fontId="1" fillId="2" borderId="7" xfId="0" applyFont="1" applyFill="1" applyBorder="1" applyProtection="1">
      <alignment vertical="center"/>
    </xf>
    <xf numFmtId="0" fontId="12" fillId="2" borderId="11" xfId="0" applyFont="1" applyFill="1" applyBorder="1" applyAlignment="1" applyProtection="1">
      <alignment horizontal="center" vertical="center"/>
    </xf>
    <xf numFmtId="3" fontId="12" fillId="5" borderId="1" xfId="12" applyFont="1" applyProtection="1">
      <alignment horizontal="right" vertical="center"/>
      <protection locked="0"/>
    </xf>
    <xf numFmtId="0" fontId="0" fillId="3" borderId="1" xfId="0" applyFont="1" applyFill="1" applyBorder="1" applyAlignment="1" applyProtection="1">
      <alignment vertical="center"/>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12" fillId="2" borderId="3" xfId="0" applyFont="1" applyFill="1" applyBorder="1" applyAlignment="1" applyProtection="1">
      <alignment horizontal="left" vertical="center" wrapText="1"/>
    </xf>
    <xf numFmtId="0" fontId="0" fillId="2" borderId="11" xfId="0" applyFont="1" applyFill="1" applyBorder="1" applyAlignment="1" applyProtection="1">
      <alignment vertical="center"/>
    </xf>
    <xf numFmtId="0" fontId="1" fillId="2" borderId="11" xfId="0" applyFont="1" applyFill="1" applyBorder="1" applyAlignment="1" applyProtection="1">
      <alignment vertical="center"/>
    </xf>
    <xf numFmtId="0" fontId="0" fillId="2" borderId="11" xfId="0" applyFont="1" applyFill="1" applyBorder="1" applyAlignment="1">
      <alignment vertical="center"/>
    </xf>
    <xf numFmtId="0" fontId="1" fillId="3" borderId="3" xfId="3" applyFont="1" applyBorder="1" applyProtection="1">
      <alignment horizontal="center" vertical="center"/>
    </xf>
    <xf numFmtId="0" fontId="1" fillId="3" borderId="5" xfId="3" applyFont="1" applyBorder="1" applyProtection="1">
      <alignment horizontal="center" vertical="center"/>
    </xf>
    <xf numFmtId="0" fontId="1" fillId="3" borderId="11" xfId="3" applyFont="1" applyBorder="1" applyProtection="1">
      <alignment horizontal="center" vertical="center"/>
    </xf>
    <xf numFmtId="0" fontId="12" fillId="2" borderId="5" xfId="0" applyFont="1" applyFill="1" applyBorder="1" applyProtection="1">
      <alignment vertical="center"/>
    </xf>
    <xf numFmtId="3" fontId="12" fillId="7" borderId="1" xfId="21" applyFont="1">
      <alignment horizontal="right" vertical="center"/>
      <protection locked="0"/>
    </xf>
    <xf numFmtId="1" fontId="1" fillId="9" borderId="1" xfId="38" applyFont="1" applyBorder="1" applyAlignment="1">
      <alignment horizontal="center" vertical="center"/>
    </xf>
    <xf numFmtId="1" fontId="1" fillId="12" borderId="1" xfId="49" applyFont="1" applyBorder="1" applyAlignment="1">
      <alignment horizontal="center" vertical="center"/>
    </xf>
    <xf numFmtId="0" fontId="1" fillId="2" borderId="1" xfId="31" applyNumberFormat="1" applyFont="1" applyBorder="1" applyAlignment="1">
      <alignment horizontal="center" vertical="center"/>
    </xf>
    <xf numFmtId="0" fontId="5" fillId="2" borderId="7" xfId="4" applyFont="1" applyFill="1" applyBorder="1" applyAlignment="1"/>
    <xf numFmtId="0" fontId="17" fillId="2" borderId="11" xfId="0" applyFont="1" applyFill="1" applyBorder="1">
      <alignment vertical="center"/>
    </xf>
    <xf numFmtId="0" fontId="17" fillId="2" borderId="0" xfId="0" applyFont="1" applyFill="1">
      <alignment vertical="center"/>
    </xf>
    <xf numFmtId="0" fontId="2" fillId="2" borderId="11" xfId="5" applyFont="1" applyFill="1" applyBorder="1" applyAlignment="1">
      <alignment vertical="center"/>
    </xf>
    <xf numFmtId="0" fontId="2" fillId="2" borderId="5" xfId="5" applyFont="1" applyFill="1" applyBorder="1" applyAlignment="1">
      <alignment vertical="center"/>
    </xf>
    <xf numFmtId="0" fontId="2" fillId="2" borderId="0" xfId="5" applyFont="1" applyFill="1" applyAlignment="1">
      <alignment vertical="center"/>
    </xf>
    <xf numFmtId="0" fontId="17" fillId="2" borderId="0" xfId="0" applyFont="1" applyFill="1" applyBorder="1" applyProtection="1">
      <alignment vertical="center"/>
    </xf>
    <xf numFmtId="0" fontId="17" fillId="2" borderId="7" xfId="0" applyFont="1" applyFill="1" applyBorder="1" applyProtection="1">
      <alignment vertical="center"/>
    </xf>
    <xf numFmtId="0" fontId="17" fillId="2" borderId="0" xfId="0" applyFont="1" applyFill="1" applyProtection="1">
      <alignment vertical="center"/>
    </xf>
    <xf numFmtId="0" fontId="17" fillId="2" borderId="2" xfId="0" applyFont="1" applyFill="1" applyBorder="1" applyAlignment="1">
      <alignment horizontal="right"/>
    </xf>
    <xf numFmtId="0" fontId="9" fillId="2" borderId="0" xfId="0" applyFont="1" applyFill="1">
      <alignment vertical="center"/>
    </xf>
    <xf numFmtId="0" fontId="9" fillId="2" borderId="2" xfId="0" applyFont="1" applyFill="1" applyBorder="1" applyAlignment="1">
      <alignment horizontal="right"/>
    </xf>
    <xf numFmtId="0" fontId="9" fillId="3" borderId="1" xfId="3" applyFont="1" applyBorder="1" applyProtection="1">
      <alignment horizontal="center" vertical="center"/>
    </xf>
    <xf numFmtId="3" fontId="9" fillId="5" borderId="1" xfId="12" applyFont="1">
      <alignment horizontal="right" vertical="center"/>
      <protection locked="0"/>
    </xf>
    <xf numFmtId="2" fontId="9" fillId="2" borderId="1" xfId="32" applyNumberFormat="1" applyFont="1">
      <alignment horizontal="right" vertical="center"/>
    </xf>
    <xf numFmtId="3" fontId="9" fillId="2" borderId="1" xfId="31" applyFont="1">
      <alignment horizontal="right" vertical="center"/>
    </xf>
    <xf numFmtId="0" fontId="9" fillId="2" borderId="3" xfId="0" applyFont="1" applyFill="1" applyBorder="1" applyAlignment="1" applyProtection="1">
      <alignment vertical="center" wrapText="1"/>
    </xf>
    <xf numFmtId="3" fontId="17" fillId="5" borderId="1" xfId="12" applyFont="1">
      <alignment horizontal="right" vertical="center"/>
      <protection locked="0"/>
    </xf>
    <xf numFmtId="0" fontId="17" fillId="2" borderId="0" xfId="0" applyFont="1" applyFill="1" applyBorder="1">
      <alignment vertical="center"/>
    </xf>
    <xf numFmtId="0" fontId="17" fillId="3" borderId="1" xfId="3" applyFont="1" applyBorder="1" applyProtection="1">
      <alignment horizontal="center" vertical="center"/>
    </xf>
    <xf numFmtId="0" fontId="17" fillId="2" borderId="3" xfId="0" applyFont="1" applyFill="1" applyBorder="1" applyAlignment="1" applyProtection="1">
      <alignment vertical="center" wrapText="1"/>
    </xf>
    <xf numFmtId="2" fontId="17" fillId="2" borderId="1" xfId="32" applyNumberFormat="1" applyFont="1">
      <alignment horizontal="right" vertical="center"/>
    </xf>
    <xf numFmtId="0" fontId="17" fillId="0" borderId="3" xfId="0" applyFont="1" applyFill="1" applyBorder="1" applyAlignment="1" applyProtection="1">
      <alignment vertical="center" wrapText="1"/>
    </xf>
    <xf numFmtId="0" fontId="9" fillId="2" borderId="3" xfId="0" applyFont="1" applyFill="1" applyBorder="1" applyAlignment="1" applyProtection="1">
      <alignment wrapText="1"/>
    </xf>
    <xf numFmtId="2" fontId="9" fillId="3" borderId="1" xfId="3" applyNumberFormat="1" applyFont="1" applyBorder="1">
      <alignment horizontal="center" vertical="center"/>
    </xf>
    <xf numFmtId="0" fontId="9" fillId="4" borderId="3" xfId="10" applyFont="1" applyBorder="1">
      <alignment horizontal="left" vertical="center"/>
    </xf>
    <xf numFmtId="2" fontId="9" fillId="4" borderId="5" xfId="10" applyNumberFormat="1" applyFont="1" applyBorder="1">
      <alignment horizontal="left" vertical="center"/>
    </xf>
    <xf numFmtId="3" fontId="9" fillId="4" borderId="1" xfId="7" applyFont="1" applyBorder="1">
      <alignment horizontal="right" vertical="center"/>
    </xf>
    <xf numFmtId="0" fontId="9" fillId="2" borderId="2" xfId="0" applyFont="1" applyFill="1" applyBorder="1" applyProtection="1">
      <alignment vertical="center"/>
    </xf>
    <xf numFmtId="0" fontId="9" fillId="2" borderId="0" xfId="0" applyFont="1" applyFill="1" applyBorder="1" applyProtection="1">
      <alignment vertical="center"/>
    </xf>
    <xf numFmtId="3" fontId="9" fillId="2" borderId="0" xfId="31" applyFont="1" applyBorder="1">
      <alignment horizontal="right" vertical="center"/>
    </xf>
    <xf numFmtId="0" fontId="9" fillId="2" borderId="1" xfId="0" applyFont="1" applyFill="1" applyBorder="1" applyAlignment="1" applyProtection="1">
      <alignment vertical="center" wrapText="1"/>
    </xf>
    <xf numFmtId="3" fontId="9" fillId="2" borderId="1" xfId="31" applyFont="1" applyFill="1">
      <alignment horizontal="right" vertical="center"/>
    </xf>
    <xf numFmtId="0" fontId="9" fillId="2" borderId="1" xfId="0" applyFont="1" applyFill="1" applyBorder="1" applyAlignment="1" applyProtection="1">
      <alignment horizontal="left" vertical="center" wrapText="1" indent="2"/>
    </xf>
    <xf numFmtId="2" fontId="9" fillId="3" borderId="1" xfId="0" applyNumberFormat="1" applyFont="1" applyFill="1" applyBorder="1" applyAlignment="1">
      <alignment horizontal="center"/>
    </xf>
    <xf numFmtId="0" fontId="2" fillId="2" borderId="8" xfId="5" applyFont="1" applyFill="1" applyBorder="1" applyAlignment="1">
      <alignment vertical="center"/>
    </xf>
    <xf numFmtId="3" fontId="17" fillId="2" borderId="1" xfId="31" applyFont="1" applyFill="1">
      <alignment horizontal="right" vertical="center"/>
    </xf>
    <xf numFmtId="0" fontId="9" fillId="2" borderId="1" xfId="0" applyFont="1" applyFill="1" applyBorder="1" applyAlignment="1" applyProtection="1">
      <alignment vertical="center"/>
    </xf>
    <xf numFmtId="0" fontId="9" fillId="0" borderId="1" xfId="0" applyFont="1" applyFill="1" applyBorder="1" applyAlignment="1" applyProtection="1">
      <alignment vertical="center" wrapText="1"/>
    </xf>
    <xf numFmtId="0" fontId="9" fillId="2" borderId="1" xfId="0" applyFont="1" applyFill="1" applyBorder="1" applyProtection="1">
      <alignment vertical="center"/>
    </xf>
    <xf numFmtId="0" fontId="9" fillId="2" borderId="2" xfId="0" applyFont="1" applyFill="1" applyBorder="1">
      <alignment vertical="center"/>
    </xf>
    <xf numFmtId="0" fontId="9" fillId="2" borderId="1" xfId="0" applyFont="1" applyFill="1" applyBorder="1" applyAlignment="1">
      <alignment horizontal="center"/>
    </xf>
    <xf numFmtId="3" fontId="9" fillId="5" borderId="1" xfId="12" applyFont="1" applyBorder="1">
      <alignment horizontal="right" vertical="center"/>
      <protection locked="0"/>
    </xf>
    <xf numFmtId="0" fontId="9" fillId="3" borderId="1" xfId="3" applyFont="1" applyBorder="1">
      <alignment horizontal="center" vertical="center"/>
    </xf>
    <xf numFmtId="3" fontId="9" fillId="2" borderId="1" xfId="31" applyFont="1" applyBorder="1">
      <alignment horizontal="right" vertical="center"/>
    </xf>
    <xf numFmtId="0" fontId="2" fillId="2" borderId="0" xfId="5" applyFont="1" applyFill="1" applyBorder="1" applyAlignment="1">
      <alignment vertical="center"/>
    </xf>
    <xf numFmtId="0" fontId="9" fillId="2" borderId="12" xfId="0" applyFont="1" applyFill="1" applyBorder="1" applyProtection="1">
      <alignment vertical="center"/>
    </xf>
    <xf numFmtId="0" fontId="0" fillId="2" borderId="3" xfId="0" applyFont="1" applyFill="1" applyBorder="1" applyAlignment="1" applyProtection="1">
      <alignment vertical="center" wrapText="1"/>
    </xf>
    <xf numFmtId="10" fontId="0" fillId="4" borderId="1" xfId="8" applyFont="1">
      <alignment horizontal="right" vertical="center"/>
    </xf>
    <xf numFmtId="0" fontId="0" fillId="2" borderId="1" xfId="0" applyFont="1" applyFill="1" applyBorder="1" applyAlignment="1" applyProtection="1">
      <alignment vertical="center"/>
    </xf>
    <xf numFmtId="0" fontId="2" fillId="2" borderId="2" xfId="5" applyFill="1" applyBorder="1"/>
    <xf numFmtId="3" fontId="1" fillId="5" borderId="1" xfId="12" applyFont="1" applyBorder="1">
      <alignment horizontal="right" vertical="center"/>
      <protection locked="0"/>
    </xf>
    <xf numFmtId="3" fontId="3" fillId="4" borderId="1" xfId="7" applyFont="1" applyBorder="1" applyProtection="1">
      <alignment horizontal="right" vertical="center"/>
    </xf>
    <xf numFmtId="3" fontId="3" fillId="2" borderId="1" xfId="31" applyFont="1">
      <alignment horizontal="right" vertical="center"/>
    </xf>
    <xf numFmtId="0" fontId="4" fillId="2" borderId="1" xfId="0" applyFont="1" applyFill="1" applyBorder="1" applyAlignment="1" applyProtection="1">
      <alignment horizontal="left" vertical="center" wrapText="1" indent="2"/>
    </xf>
    <xf numFmtId="3" fontId="1" fillId="2" borderId="1" xfId="31" applyFont="1" applyFill="1">
      <alignment horizontal="right" vertical="center"/>
    </xf>
    <xf numFmtId="9" fontId="1" fillId="4" borderId="1" xfId="9" applyFont="1">
      <alignment horizontal="right" vertical="center"/>
    </xf>
    <xf numFmtId="0" fontId="1" fillId="2" borderId="2" xfId="0" applyFont="1" applyFill="1" applyBorder="1" applyProtection="1">
      <alignment vertical="center"/>
    </xf>
    <xf numFmtId="0" fontId="12" fillId="2" borderId="7" xfId="0" applyFont="1" applyFill="1" applyBorder="1" applyAlignment="1" applyProtection="1">
      <alignment horizontal="center" vertical="center" wrapText="1"/>
    </xf>
    <xf numFmtId="0" fontId="12" fillId="2" borderId="7" xfId="0" applyFont="1" applyFill="1" applyBorder="1" applyAlignment="1" applyProtection="1">
      <alignment horizontal="left" vertical="center" wrapText="1" indent="2"/>
    </xf>
    <xf numFmtId="0" fontId="12" fillId="2" borderId="10" xfId="0" applyFont="1" applyFill="1" applyBorder="1" applyAlignment="1" applyProtection="1">
      <alignment horizontal="left" vertical="center" wrapText="1" indent="2"/>
    </xf>
    <xf numFmtId="0" fontId="12" fillId="2" borderId="9" xfId="0" applyFont="1" applyFill="1" applyBorder="1" applyAlignment="1" applyProtection="1">
      <alignment horizontal="center" vertical="center" wrapText="1"/>
    </xf>
    <xf numFmtId="2" fontId="12" fillId="2" borderId="2" xfId="32" applyNumberFormat="1" applyFont="1" applyFill="1" applyBorder="1" applyProtection="1">
      <alignment horizontal="right" vertical="center"/>
    </xf>
    <xf numFmtId="3" fontId="12" fillId="2" borderId="0" xfId="31" applyFont="1" applyFill="1" applyBorder="1" applyProtection="1">
      <alignment horizontal="right" vertical="center"/>
    </xf>
    <xf numFmtId="0" fontId="0" fillId="2" borderId="11" xfId="0" applyFont="1" applyFill="1" applyBorder="1" applyProtection="1">
      <alignment vertical="center"/>
    </xf>
    <xf numFmtId="0" fontId="3" fillId="0" borderId="1" xfId="0" applyFont="1" applyFill="1" applyBorder="1" applyAlignment="1">
      <alignment horizontal="center" vertical="center" wrapText="1"/>
    </xf>
    <xf numFmtId="0" fontId="1" fillId="2" borderId="11" xfId="0" applyFont="1" applyFill="1" applyBorder="1" applyAlignment="1">
      <alignment horizontal="left" vertical="center" indent="1"/>
    </xf>
    <xf numFmtId="0" fontId="1" fillId="2" borderId="5" xfId="0" applyFont="1" applyFill="1" applyBorder="1" applyAlignment="1">
      <alignment vertical="center"/>
    </xf>
    <xf numFmtId="0" fontId="1" fillId="4" borderId="11" xfId="10" applyFont="1" applyBorder="1">
      <alignment horizontal="left" vertical="center"/>
    </xf>
    <xf numFmtId="0" fontId="0" fillId="2" borderId="4" xfId="0" applyFont="1" applyFill="1" applyBorder="1" applyAlignment="1">
      <alignment horizontal="center" vertical="center"/>
    </xf>
    <xf numFmtId="3" fontId="1" fillId="4" borderId="1" xfId="7" applyFont="1" applyBorder="1">
      <alignment horizontal="right" vertical="center"/>
    </xf>
    <xf numFmtId="49" fontId="1" fillId="2" borderId="3" xfId="0" applyNumberFormat="1" applyFont="1" applyFill="1" applyBorder="1" applyAlignment="1">
      <alignment horizontal="left" vertical="center"/>
    </xf>
    <xf numFmtId="0" fontId="2" fillId="2" borderId="2" xfId="5" applyFill="1" applyBorder="1" applyAlignment="1">
      <alignment vertical="center"/>
    </xf>
    <xf numFmtId="3" fontId="1" fillId="2" borderId="1" xfId="31" applyFont="1" applyBorder="1">
      <alignment horizontal="right" vertical="center"/>
    </xf>
    <xf numFmtId="10" fontId="1" fillId="4" borderId="1" xfId="8" applyFont="1" applyBorder="1">
      <alignment horizontal="right" vertical="center"/>
    </xf>
    <xf numFmtId="0" fontId="0" fillId="2" borderId="12" xfId="0" applyFont="1" applyFill="1" applyBorder="1" applyAlignment="1">
      <alignment vertical="center"/>
    </xf>
    <xf numFmtId="0" fontId="2" fillId="2" borderId="0" xfId="0" applyFont="1" applyFill="1" applyBorder="1" applyAlignment="1">
      <alignment vertical="center"/>
    </xf>
    <xf numFmtId="0" fontId="2" fillId="2" borderId="7" xfId="0" applyFont="1" applyFill="1" applyBorder="1" applyAlignment="1">
      <alignment vertical="center"/>
    </xf>
    <xf numFmtId="0" fontId="2" fillId="2" borderId="10" xfId="0" applyFont="1" applyFill="1" applyBorder="1" applyAlignment="1">
      <alignment vertical="center"/>
    </xf>
    <xf numFmtId="3" fontId="0" fillId="2" borderId="1" xfId="0" applyNumberFormat="1" applyFont="1" applyFill="1" applyBorder="1" applyAlignment="1">
      <alignment horizontal="center" vertical="center"/>
    </xf>
    <xf numFmtId="3" fontId="1" fillId="5" borderId="1" xfId="12" applyFont="1">
      <alignment horizontal="right" vertical="center"/>
      <protection locked="0"/>
    </xf>
    <xf numFmtId="0" fontId="1" fillId="2" borderId="0" xfId="0" applyFont="1" applyFill="1" applyBorder="1">
      <alignment vertical="center"/>
    </xf>
    <xf numFmtId="2" fontId="1" fillId="2" borderId="1" xfId="32" applyNumberFormat="1" applyFont="1">
      <alignment horizontal="right" vertical="center"/>
    </xf>
    <xf numFmtId="0" fontId="1" fillId="2" borderId="1" xfId="0" applyFont="1" applyFill="1" applyBorder="1" applyAlignment="1" applyProtection="1">
      <alignment vertical="center" wrapText="1"/>
    </xf>
    <xf numFmtId="0" fontId="9" fillId="2" borderId="3"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indent="1"/>
    </xf>
    <xf numFmtId="0" fontId="3" fillId="2" borderId="1" xfId="0" applyFont="1" applyFill="1" applyBorder="1" applyAlignment="1">
      <alignment horizontal="center" vertical="center"/>
    </xf>
    <xf numFmtId="3" fontId="12" fillId="2" borderId="1" xfId="31" applyFont="1">
      <alignment horizontal="right" vertical="center"/>
    </xf>
    <xf numFmtId="0" fontId="12" fillId="0" borderId="1" xfId="0" applyFont="1" applyBorder="1" applyAlignment="1" applyProtection="1">
      <alignment horizontal="left" vertical="center" wrapText="1" indent="1"/>
    </xf>
    <xf numFmtId="3" fontId="1" fillId="7" borderId="1" xfId="21" applyFont="1">
      <alignment horizontal="right" vertical="center"/>
      <protection locked="0"/>
    </xf>
    <xf numFmtId="1" fontId="1" fillId="12" borderId="1" xfId="49">
      <alignment horizontal="right" vertical="center"/>
    </xf>
    <xf numFmtId="166" fontId="1" fillId="12" borderId="1" xfId="50" applyFont="1">
      <alignment vertical="center"/>
    </xf>
    <xf numFmtId="0" fontId="1" fillId="12" borderId="1" xfId="56" applyFont="1">
      <alignment horizontal="center" vertical="center" wrapText="1"/>
    </xf>
    <xf numFmtId="168" fontId="1" fillId="11" borderId="1" xfId="47">
      <alignment vertical="center"/>
    </xf>
    <xf numFmtId="2" fontId="0" fillId="12" borderId="1" xfId="50" applyNumberFormat="1" applyFont="1">
      <alignment vertical="center"/>
    </xf>
    <xf numFmtId="49" fontId="1" fillId="12" borderId="1" xfId="57" applyFont="1">
      <alignment vertical="center"/>
    </xf>
    <xf numFmtId="0" fontId="1" fillId="2" borderId="14" xfId="0" applyFont="1" applyFill="1" applyBorder="1" applyAlignment="1">
      <alignment horizontal="left" vertical="center"/>
    </xf>
    <xf numFmtId="171" fontId="1" fillId="7" borderId="4" xfId="26">
      <alignment horizontal="right" vertical="center"/>
      <protection locked="0"/>
    </xf>
    <xf numFmtId="171" fontId="1" fillId="7" borderId="1" xfId="26" applyBorder="1">
      <alignment horizontal="right" vertical="center"/>
      <protection locked="0"/>
    </xf>
    <xf numFmtId="0" fontId="2" fillId="2" borderId="0" xfId="5" applyFont="1" applyFill="1" applyBorder="1" applyAlignment="1" applyProtection="1">
      <alignment horizontal="left" wrapText="1"/>
    </xf>
    <xf numFmtId="0" fontId="2" fillId="2" borderId="8" xfId="5" applyFont="1" applyFill="1" applyBorder="1" applyAlignment="1" applyProtection="1">
      <alignment horizontal="left" wrapText="1"/>
    </xf>
    <xf numFmtId="0" fontId="19" fillId="0" borderId="3" xfId="0" applyFont="1" applyBorder="1" applyAlignment="1">
      <alignment vertical="top"/>
    </xf>
    <xf numFmtId="0" fontId="0" fillId="2" borderId="5" xfId="0" applyFont="1" applyFill="1" applyBorder="1" applyAlignment="1">
      <alignment vertical="center"/>
    </xf>
    <xf numFmtId="0" fontId="1" fillId="0" borderId="3" xfId="0" applyFont="1" applyBorder="1" applyAlignment="1">
      <alignment horizontal="left" vertical="top" wrapText="1" indent="1"/>
    </xf>
    <xf numFmtId="0" fontId="1" fillId="0" borderId="3" xfId="0" applyFont="1" applyBorder="1" applyAlignment="1">
      <alignment horizontal="left" vertical="top" wrapText="1" indent="2"/>
    </xf>
    <xf numFmtId="0" fontId="1" fillId="0" borderId="3" xfId="0" applyFont="1" applyBorder="1" applyAlignment="1">
      <alignment horizontal="left" vertical="top" wrapText="1" indent="3"/>
    </xf>
    <xf numFmtId="0" fontId="1" fillId="0" borderId="3" xfId="0" applyFont="1" applyBorder="1" applyAlignment="1">
      <alignment horizontal="left" vertical="top" wrapText="1" indent="4"/>
    </xf>
    <xf numFmtId="0" fontId="1" fillId="0" borderId="3" xfId="0" applyFont="1" applyBorder="1" applyAlignment="1">
      <alignment horizontal="left" vertical="top" wrapText="1"/>
    </xf>
    <xf numFmtId="0" fontId="0" fillId="2" borderId="15" xfId="0" applyFont="1" applyFill="1" applyBorder="1" applyAlignment="1">
      <alignment vertical="center"/>
    </xf>
    <xf numFmtId="0" fontId="1" fillId="0" borderId="3" xfId="0" applyFont="1" applyFill="1" applyBorder="1" applyAlignment="1" applyProtection="1">
      <alignment vertical="center" wrapText="1"/>
    </xf>
    <xf numFmtId="0" fontId="4" fillId="0" borderId="3"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1"/>
    </xf>
    <xf numFmtId="0" fontId="3" fillId="2" borderId="10" xfId="0" applyFont="1" applyFill="1" applyBorder="1" applyAlignment="1" applyProtection="1">
      <alignment vertical="center"/>
    </xf>
    <xf numFmtId="0" fontId="12" fillId="2" borderId="0" xfId="0" applyFont="1" applyFill="1" applyBorder="1" applyAlignment="1" applyProtection="1">
      <alignment horizontal="center"/>
    </xf>
    <xf numFmtId="0" fontId="13" fillId="2" borderId="0" xfId="0" applyFont="1" applyFill="1" applyBorder="1" applyAlignment="1" applyProtection="1">
      <alignment horizontal="left" vertical="center" wrapText="1"/>
    </xf>
    <xf numFmtId="0" fontId="5" fillId="2" borderId="15" xfId="4" applyFont="1" applyFill="1" applyBorder="1" applyAlignment="1" applyProtection="1"/>
    <xf numFmtId="0" fontId="18" fillId="0" borderId="3" xfId="0" applyFont="1" applyBorder="1" applyAlignment="1">
      <alignment vertical="center"/>
    </xf>
    <xf numFmtId="0" fontId="1" fillId="0" borderId="3" xfId="0" applyFont="1" applyFill="1" applyBorder="1" applyAlignment="1">
      <alignment horizontal="left" vertical="top" wrapText="1" indent="3"/>
    </xf>
    <xf numFmtId="3" fontId="18" fillId="2" borderId="1" xfId="31" applyFont="1">
      <alignment horizontal="right" vertical="center"/>
    </xf>
    <xf numFmtId="0" fontId="1" fillId="0" borderId="3" xfId="0" applyFont="1" applyFill="1" applyBorder="1" applyAlignment="1">
      <alignment horizontal="left" vertical="top" wrapText="1" indent="4"/>
    </xf>
    <xf numFmtId="0" fontId="1" fillId="0" borderId="3" xfId="0" applyFont="1" applyBorder="1" applyAlignment="1">
      <alignment horizontal="left" vertical="top" wrapText="1" indent="5"/>
    </xf>
    <xf numFmtId="0" fontId="1" fillId="2" borderId="0" xfId="5" applyFont="1" applyFill="1" applyBorder="1" applyAlignment="1" applyProtection="1">
      <alignment horizontal="center" vertical="center" wrapText="1"/>
    </xf>
    <xf numFmtId="0" fontId="20" fillId="2" borderId="0" xfId="0" applyFont="1" applyFill="1" applyBorder="1" applyAlignment="1">
      <alignment vertical="center"/>
    </xf>
    <xf numFmtId="0" fontId="19" fillId="0" borderId="3" xfId="0" applyFont="1" applyBorder="1" applyAlignment="1">
      <alignment horizontal="left" vertical="top" indent="4"/>
    </xf>
    <xf numFmtId="0" fontId="1" fillId="0"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indent="1"/>
    </xf>
    <xf numFmtId="3" fontId="1" fillId="5" borderId="1" xfId="12">
      <alignment horizontal="right" vertical="center"/>
      <protection locked="0"/>
    </xf>
    <xf numFmtId="0" fontId="0" fillId="2" borderId="13" xfId="0" applyFont="1" applyFill="1" applyBorder="1" applyAlignment="1">
      <alignment vertical="center"/>
    </xf>
    <xf numFmtId="0" fontId="4" fillId="2" borderId="8" xfId="0" applyFont="1" applyFill="1" applyBorder="1">
      <alignment vertical="center"/>
    </xf>
    <xf numFmtId="0" fontId="4" fillId="2" borderId="8" xfId="0" applyFont="1" applyFill="1" applyBorder="1" applyAlignment="1">
      <alignment vertical="center"/>
    </xf>
    <xf numFmtId="0" fontId="0" fillId="2" borderId="8" xfId="0" applyFont="1" applyFill="1" applyBorder="1" applyAlignment="1">
      <alignment wrapText="1"/>
    </xf>
    <xf numFmtId="0" fontId="17" fillId="2" borderId="5" xfId="0" applyFont="1" applyFill="1" applyBorder="1">
      <alignment vertical="center"/>
    </xf>
    <xf numFmtId="0" fontId="17" fillId="2" borderId="8" xfId="0" applyFont="1" applyFill="1" applyBorder="1" applyProtection="1">
      <alignment vertical="center"/>
    </xf>
    <xf numFmtId="0" fontId="9" fillId="2" borderId="8" xfId="0" applyFont="1" applyFill="1" applyBorder="1">
      <alignment vertical="center"/>
    </xf>
    <xf numFmtId="0" fontId="9" fillId="2" borderId="8" xfId="0" applyFont="1" applyFill="1" applyBorder="1" applyProtection="1">
      <alignment vertical="center"/>
    </xf>
    <xf numFmtId="0" fontId="9" fillId="2" borderId="9" xfId="0" applyFont="1" applyFill="1" applyBorder="1" applyProtection="1">
      <alignment vertical="center"/>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lignment horizontal="left" vertical="center" wrapText="1" indent="1"/>
    </xf>
    <xf numFmtId="0" fontId="1"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indent="1"/>
    </xf>
    <xf numFmtId="0" fontId="18" fillId="2" borderId="8" xfId="0" applyFont="1" applyFill="1" applyBorder="1" applyAlignment="1">
      <alignment vertical="center"/>
    </xf>
    <xf numFmtId="3" fontId="1" fillId="5" borderId="14" xfId="12" applyFont="1" applyBorder="1" applyAlignment="1" applyProtection="1">
      <alignment horizontal="right" vertical="center"/>
      <protection locked="0"/>
    </xf>
    <xf numFmtId="0" fontId="3" fillId="2" borderId="9" xfId="6" applyFont="1" applyFill="1" applyBorder="1" applyAlignment="1">
      <alignment horizontal="center" vertical="center" wrapText="1"/>
    </xf>
    <xf numFmtId="0" fontId="4" fillId="0" borderId="1" xfId="0" applyFont="1" applyBorder="1" applyAlignment="1" applyProtection="1">
      <alignment horizontal="left" vertical="center" wrapText="1" indent="2"/>
    </xf>
    <xf numFmtId="168" fontId="1" fillId="5" borderId="1" xfId="11">
      <alignment vertical="center"/>
      <protection locked="0"/>
    </xf>
    <xf numFmtId="0" fontId="9"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6" applyFont="1" applyBorder="1" applyAlignment="1" applyProtection="1">
      <alignment horizontal="center" vertical="center" wrapText="1"/>
    </xf>
    <xf numFmtId="0" fontId="9" fillId="2" borderId="1" xfId="0" applyFont="1" applyFill="1" applyBorder="1" applyAlignment="1">
      <alignment vertical="center" wrapText="1"/>
    </xf>
    <xf numFmtId="0" fontId="2" fillId="2" borderId="7" xfId="5" applyFill="1" applyBorder="1" applyAlignment="1" applyProtection="1">
      <alignment vertical="center"/>
    </xf>
    <xf numFmtId="0" fontId="1" fillId="3" borderId="14" xfId="3" applyFont="1" applyBorder="1" applyAlignment="1" applyProtection="1">
      <alignment horizontal="center" vertical="center"/>
    </xf>
    <xf numFmtId="0" fontId="4" fillId="2" borderId="8" xfId="0" applyFont="1" applyFill="1" applyBorder="1" applyAlignment="1">
      <alignment horizontal="center" vertical="center"/>
    </xf>
    <xf numFmtId="0" fontId="1" fillId="2" borderId="5" xfId="0" applyFont="1" applyFill="1" applyBorder="1" applyAlignment="1" applyProtection="1">
      <alignment horizontal="center" vertical="center"/>
    </xf>
    <xf numFmtId="0" fontId="1" fillId="2" borderId="9" xfId="0" applyFont="1" applyFill="1" applyBorder="1" applyAlignment="1">
      <alignment horizontal="left" vertical="center" indent="2"/>
    </xf>
    <xf numFmtId="10" fontId="1" fillId="12" borderId="1" xfId="55" applyBorder="1">
      <alignment horizontal="right" vertical="center"/>
    </xf>
    <xf numFmtId="0" fontId="0" fillId="0" borderId="1" xfId="0" applyFont="1" applyFill="1" applyBorder="1" applyAlignment="1" applyProtection="1">
      <alignment vertical="center" wrapText="1"/>
    </xf>
    <xf numFmtId="0" fontId="1" fillId="2" borderId="2" xfId="0" applyFont="1" applyFill="1" applyBorder="1" applyAlignment="1">
      <alignment horizontal="right"/>
    </xf>
    <xf numFmtId="3" fontId="1" fillId="3" borderId="1" xfId="3" applyNumberFormat="1" applyFont="1" applyBorder="1" applyProtection="1">
      <alignment horizontal="center" vertical="center"/>
      <protection locked="0"/>
    </xf>
    <xf numFmtId="0" fontId="1" fillId="2" borderId="1" xfId="0" applyFont="1" applyFill="1" applyBorder="1" applyAlignment="1" applyProtection="1">
      <alignment horizontal="left" vertical="center" wrapText="1" indent="2"/>
    </xf>
    <xf numFmtId="2" fontId="1" fillId="3" borderId="1" xfId="3" applyNumberFormat="1" applyFont="1" applyBorder="1">
      <alignment horizontal="center" vertical="center"/>
    </xf>
    <xf numFmtId="0" fontId="4" fillId="0" borderId="1" xfId="0" applyFont="1" applyBorder="1" applyAlignment="1" applyProtection="1">
      <alignment horizontal="left" vertical="center" wrapText="1" indent="3"/>
    </xf>
    <xf numFmtId="0" fontId="0" fillId="2" borderId="1" xfId="0" applyFont="1" applyFill="1" applyBorder="1" applyAlignment="1" applyProtection="1">
      <alignment horizontal="left" vertical="center" wrapText="1"/>
    </xf>
    <xf numFmtId="0" fontId="0" fillId="2" borderId="1" xfId="0" applyFont="1" applyFill="1" applyBorder="1" applyAlignment="1">
      <alignment vertical="center"/>
    </xf>
    <xf numFmtId="0" fontId="4" fillId="2" borderId="1" xfId="0" applyFont="1" applyFill="1" applyBorder="1" applyAlignment="1">
      <alignment horizontal="left" vertical="center" wrapText="1"/>
    </xf>
    <xf numFmtId="3" fontId="1" fillId="3" borderId="1" xfId="3" applyNumberFormat="1" applyFont="1" applyBorder="1" applyAlignment="1" applyProtection="1">
      <alignment horizontal="center" vertical="center"/>
    </xf>
    <xf numFmtId="0" fontId="7" fillId="2" borderId="0" xfId="0" applyFont="1" applyFill="1" applyBorder="1">
      <alignment vertical="center"/>
    </xf>
    <xf numFmtId="0" fontId="12" fillId="2" borderId="1" xfId="0" applyFont="1" applyFill="1" applyBorder="1" applyAlignment="1" applyProtection="1">
      <alignment horizontal="left" vertical="center" indent="1"/>
    </xf>
    <xf numFmtId="0" fontId="1" fillId="2" borderId="1" xfId="2">
      <alignment horizontal="center" vertical="center"/>
    </xf>
    <xf numFmtId="0" fontId="1" fillId="2" borderId="0"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0" fillId="2" borderId="1" xfId="0" applyFill="1" applyBorder="1" applyAlignment="1">
      <alignment horizontal="center" vertical="center"/>
    </xf>
    <xf numFmtId="0" fontId="3" fillId="2" borderId="3" xfId="5" applyFont="1" applyFill="1" applyBorder="1" applyAlignment="1" applyProtection="1">
      <alignment horizontal="center" vertical="center" wrapText="1"/>
    </xf>
    <xf numFmtId="1" fontId="0" fillId="9" borderId="1" xfId="38" applyFont="1" applyBorder="1" applyAlignment="1">
      <alignment horizontal="center" vertical="center"/>
    </xf>
    <xf numFmtId="0" fontId="0" fillId="2" borderId="1" xfId="0" applyFont="1" applyFill="1" applyBorder="1" applyAlignment="1" applyProtection="1">
      <alignment vertical="center" wrapText="1"/>
    </xf>
    <xf numFmtId="49" fontId="1" fillId="12" borderId="1" xfId="57" applyFont="1" applyAlignment="1">
      <alignment horizontal="center" vertical="center"/>
    </xf>
    <xf numFmtId="1" fontId="1" fillId="12" borderId="1" xfId="49" applyFont="1" applyAlignment="1">
      <alignment horizontal="center" vertical="center"/>
    </xf>
    <xf numFmtId="0" fontId="1" fillId="3" borderId="0" xfId="3" applyFont="1" applyBorder="1">
      <alignment horizontal="center" vertical="center"/>
    </xf>
    <xf numFmtId="3" fontId="1" fillId="3" borderId="15" xfId="3" applyNumberFormat="1" applyFont="1" applyBorder="1" applyAlignment="1" applyProtection="1">
      <alignment horizontal="center" vertical="center"/>
    </xf>
    <xf numFmtId="3" fontId="1" fillId="3" borderId="7" xfId="3" applyNumberFormat="1" applyFont="1" applyBorder="1" applyAlignment="1" applyProtection="1">
      <alignment horizontal="center" vertical="center"/>
    </xf>
    <xf numFmtId="3" fontId="1" fillId="3" borderId="13" xfId="3" applyNumberFormat="1" applyFont="1" applyBorder="1" applyAlignment="1" applyProtection="1">
      <alignment horizontal="center" vertical="center"/>
    </xf>
    <xf numFmtId="3" fontId="1" fillId="3" borderId="2" xfId="3" applyNumberFormat="1" applyFont="1" applyBorder="1" applyAlignment="1" applyProtection="1">
      <alignment horizontal="center" vertical="center"/>
    </xf>
    <xf numFmtId="3" fontId="1" fillId="3" borderId="0" xfId="3" applyNumberFormat="1" applyFont="1" applyBorder="1" applyAlignment="1" applyProtection="1">
      <alignment horizontal="center" vertical="center"/>
    </xf>
    <xf numFmtId="3" fontId="1" fillId="3" borderId="8" xfId="3" applyNumberFormat="1" applyFont="1" applyBorder="1" applyAlignment="1" applyProtection="1">
      <alignment horizontal="center" vertical="center"/>
    </xf>
    <xf numFmtId="3" fontId="1" fillId="3" borderId="12" xfId="3" applyNumberFormat="1" applyFont="1" applyBorder="1" applyAlignment="1" applyProtection="1">
      <alignment horizontal="center" vertical="center"/>
    </xf>
    <xf numFmtId="3" fontId="1" fillId="3" borderId="10" xfId="3" applyNumberFormat="1" applyFont="1" applyBorder="1" applyAlignment="1" applyProtection="1">
      <alignment horizontal="center" vertical="center"/>
    </xf>
    <xf numFmtId="3" fontId="1" fillId="3" borderId="9" xfId="3" applyNumberFormat="1" applyFont="1" applyBorder="1" applyAlignment="1" applyProtection="1">
      <alignment horizontal="center" vertical="center"/>
    </xf>
    <xf numFmtId="3" fontId="1" fillId="3" borderId="3" xfId="3" applyNumberFormat="1" applyFont="1" applyBorder="1" applyAlignment="1" applyProtection="1">
      <alignment horizontal="center" vertical="center"/>
    </xf>
    <xf numFmtId="3" fontId="1" fillId="3" borderId="11" xfId="3" applyNumberFormat="1" applyFont="1" applyBorder="1" applyAlignment="1" applyProtection="1">
      <alignment horizontal="center" vertical="center"/>
    </xf>
    <xf numFmtId="3" fontId="1" fillId="3" borderId="5" xfId="3" applyNumberFormat="1" applyFont="1" applyBorder="1" applyAlignment="1" applyProtection="1">
      <alignment horizontal="center" vertical="center"/>
    </xf>
    <xf numFmtId="3" fontId="1" fillId="3" borderId="4" xfId="3" applyNumberFormat="1" applyFont="1" applyBorder="1" applyAlignment="1" applyProtection="1">
      <alignment horizontal="center" vertical="center"/>
    </xf>
    <xf numFmtId="3" fontId="1" fillId="3" borderId="14" xfId="3" applyNumberFormat="1" applyFont="1" applyBorder="1" applyAlignment="1" applyProtection="1">
      <alignment horizontal="center" vertical="center"/>
    </xf>
    <xf numFmtId="3" fontId="1" fillId="3" borderId="15" xfId="3" applyNumberFormat="1" applyFont="1" applyBorder="1">
      <alignment horizontal="center" vertical="center"/>
    </xf>
    <xf numFmtId="3" fontId="1" fillId="3" borderId="7" xfId="3" applyNumberFormat="1" applyFont="1" applyBorder="1">
      <alignment horizontal="center" vertical="center"/>
    </xf>
    <xf numFmtId="3" fontId="1" fillId="3" borderId="13" xfId="3" applyNumberFormat="1" applyFont="1" applyBorder="1">
      <alignment horizontal="center" vertical="center"/>
    </xf>
    <xf numFmtId="3" fontId="1" fillId="3" borderId="2" xfId="3" applyNumberFormat="1" applyFont="1" applyBorder="1">
      <alignment horizontal="center" vertical="center"/>
    </xf>
    <xf numFmtId="3" fontId="1" fillId="3" borderId="0" xfId="3" applyNumberFormat="1" applyFont="1" applyBorder="1">
      <alignment horizontal="center" vertical="center"/>
    </xf>
    <xf numFmtId="3" fontId="1" fillId="3" borderId="8" xfId="3" applyNumberFormat="1" applyFont="1" applyBorder="1">
      <alignment horizontal="center" vertical="center"/>
    </xf>
    <xf numFmtId="3" fontId="1" fillId="3" borderId="12" xfId="3" applyNumberFormat="1" applyFont="1" applyBorder="1">
      <alignment horizontal="center" vertical="center"/>
    </xf>
    <xf numFmtId="3" fontId="1" fillId="3" borderId="10" xfId="3" applyNumberFormat="1" applyFont="1" applyBorder="1">
      <alignment horizontal="center" vertical="center"/>
    </xf>
    <xf numFmtId="3" fontId="1" fillId="3" borderId="9" xfId="3" applyNumberFormat="1" applyFont="1" applyBorder="1">
      <alignment horizontal="center" vertical="center"/>
    </xf>
    <xf numFmtId="0" fontId="1" fillId="3" borderId="2" xfId="3" applyBorder="1" applyAlignment="1" applyProtection="1">
      <alignment vertical="center" wrapText="1"/>
    </xf>
    <xf numFmtId="0" fontId="1" fillId="3" borderId="11" xfId="3" applyBorder="1" applyAlignment="1" applyProtection="1">
      <alignment vertical="center" wrapText="1"/>
    </xf>
    <xf numFmtId="0" fontId="1" fillId="3" borderId="5" xfId="3" applyBorder="1" applyAlignment="1" applyProtection="1">
      <alignment vertical="center" wrapText="1"/>
    </xf>
    <xf numFmtId="0" fontId="1" fillId="3" borderId="15" xfId="3" applyFont="1" applyBorder="1">
      <alignment horizontal="center" vertical="center"/>
    </xf>
    <xf numFmtId="0" fontId="1" fillId="3" borderId="13" xfId="3" applyFont="1" applyBorder="1">
      <alignment horizontal="center" vertical="center"/>
    </xf>
    <xf numFmtId="0" fontId="1" fillId="3" borderId="2" xfId="3" applyFont="1" applyBorder="1">
      <alignment horizontal="center" vertical="center"/>
    </xf>
    <xf numFmtId="0" fontId="1" fillId="3" borderId="8" xfId="3" applyFont="1" applyBorder="1">
      <alignment horizontal="center" vertical="center"/>
    </xf>
    <xf numFmtId="0" fontId="1" fillId="3" borderId="12" xfId="3" applyFont="1" applyBorder="1">
      <alignment horizontal="center" vertical="center"/>
    </xf>
    <xf numFmtId="0" fontId="1" fillId="3" borderId="9" xfId="3" applyFont="1" applyBorder="1">
      <alignment horizontal="center" vertical="center"/>
    </xf>
    <xf numFmtId="0" fontId="1" fillId="3" borderId="6" xfId="3" applyFont="1" applyBorder="1">
      <alignment horizontal="center" vertical="center"/>
    </xf>
    <xf numFmtId="0" fontId="1" fillId="3" borderId="14" xfId="3" applyFont="1" applyBorder="1">
      <alignment horizontal="center" vertical="center"/>
    </xf>
    <xf numFmtId="0" fontId="1" fillId="3" borderId="3" xfId="3" applyFont="1" applyBorder="1">
      <alignment horizontal="center" vertical="center"/>
    </xf>
    <xf numFmtId="0" fontId="1" fillId="3" borderId="5" xfId="3" applyFont="1" applyBorder="1">
      <alignment horizontal="center" vertical="center"/>
    </xf>
    <xf numFmtId="0" fontId="1" fillId="3" borderId="4" xfId="3" applyFont="1" applyBorder="1">
      <alignment horizontal="center" vertical="center"/>
    </xf>
    <xf numFmtId="0" fontId="1" fillId="3" borderId="10" xfId="3" applyFont="1" applyBorder="1">
      <alignment horizontal="center" vertical="center"/>
    </xf>
    <xf numFmtId="0" fontId="1" fillId="3" borderId="4" xfId="3" applyFont="1" applyBorder="1" applyAlignment="1" applyProtection="1">
      <alignment horizontal="center" vertical="center"/>
    </xf>
    <xf numFmtId="0" fontId="1" fillId="3" borderId="6" xfId="3" applyFont="1" applyBorder="1" applyAlignment="1" applyProtection="1">
      <alignment horizontal="center" vertical="center"/>
    </xf>
    <xf numFmtId="0" fontId="1" fillId="3" borderId="15" xfId="3" applyFont="1" applyBorder="1" applyAlignment="1" applyProtection="1">
      <alignment horizontal="center" vertical="center"/>
    </xf>
    <xf numFmtId="0" fontId="1" fillId="3" borderId="7" xfId="3" applyFont="1" applyBorder="1" applyAlignment="1" applyProtection="1">
      <alignment horizontal="center" vertical="center"/>
    </xf>
    <xf numFmtId="0" fontId="1" fillId="3" borderId="13" xfId="3" applyFont="1" applyBorder="1" applyAlignment="1" applyProtection="1">
      <alignment horizontal="center" vertical="center"/>
    </xf>
    <xf numFmtId="0" fontId="1" fillId="3" borderId="2" xfId="3" applyFont="1" applyBorder="1" applyAlignment="1" applyProtection="1">
      <alignment horizontal="center" vertical="center"/>
    </xf>
    <xf numFmtId="0" fontId="1" fillId="3" borderId="0" xfId="3" applyFont="1" applyBorder="1" applyAlignment="1" applyProtection="1">
      <alignment horizontal="center" vertical="center"/>
    </xf>
    <xf numFmtId="0" fontId="1" fillId="3" borderId="8" xfId="3" applyFont="1" applyBorder="1" applyAlignment="1" applyProtection="1">
      <alignment horizontal="center" vertical="center"/>
    </xf>
    <xf numFmtId="0" fontId="1" fillId="3" borderId="10" xfId="3" applyFont="1" applyBorder="1" applyAlignment="1" applyProtection="1">
      <alignment horizontal="center" vertical="center"/>
    </xf>
    <xf numFmtId="0" fontId="1" fillId="3" borderId="9" xfId="3" applyFont="1" applyBorder="1" applyAlignment="1" applyProtection="1">
      <alignment horizontal="center" vertical="center"/>
    </xf>
    <xf numFmtId="0" fontId="1" fillId="3" borderId="12" xfId="3" applyFont="1" applyBorder="1" applyAlignment="1" applyProtection="1">
      <alignment horizontal="center" vertical="center"/>
    </xf>
    <xf numFmtId="0" fontId="1" fillId="3" borderId="5" xfId="3" applyFont="1" applyBorder="1" applyAlignment="1" applyProtection="1">
      <alignment horizontal="center" vertical="center"/>
    </xf>
    <xf numFmtId="0" fontId="1" fillId="3" borderId="3" xfId="3" applyFont="1" applyBorder="1" applyAlignment="1" applyProtection="1">
      <alignment horizontal="center" vertical="center"/>
    </xf>
    <xf numFmtId="0" fontId="1" fillId="3" borderId="11" xfId="3" applyFont="1" applyBorder="1" applyAlignment="1" applyProtection="1">
      <alignment horizontal="center" vertical="center"/>
    </xf>
    <xf numFmtId="0" fontId="0" fillId="3" borderId="15" xfId="0" applyFont="1" applyFill="1" applyBorder="1" applyAlignment="1" applyProtection="1">
      <alignment vertical="center"/>
    </xf>
    <xf numFmtId="0" fontId="1" fillId="3" borderId="7" xfId="0" applyFont="1" applyFill="1" applyBorder="1" applyAlignment="1" applyProtection="1">
      <alignment vertical="center"/>
    </xf>
    <xf numFmtId="0" fontId="1" fillId="3" borderId="13" xfId="0" applyFont="1" applyFill="1" applyBorder="1" applyAlignment="1" applyProtection="1">
      <alignment vertical="center"/>
    </xf>
    <xf numFmtId="0" fontId="0" fillId="3" borderId="2" xfId="0" applyFont="1" applyFill="1" applyBorder="1" applyAlignment="1" applyProtection="1">
      <alignment vertical="center"/>
    </xf>
    <xf numFmtId="0" fontId="1" fillId="3" borderId="0" xfId="0" applyFont="1" applyFill="1" applyBorder="1" applyAlignment="1" applyProtection="1">
      <alignment vertical="center"/>
    </xf>
    <xf numFmtId="0" fontId="1" fillId="3" borderId="8" xfId="0" applyFont="1" applyFill="1" applyBorder="1" applyAlignment="1" applyProtection="1">
      <alignment vertical="center"/>
    </xf>
    <xf numFmtId="0" fontId="0" fillId="3" borderId="12" xfId="0" applyFont="1" applyFill="1" applyBorder="1" applyAlignment="1" applyProtection="1">
      <alignment vertical="center"/>
    </xf>
    <xf numFmtId="0" fontId="1" fillId="3" borderId="10" xfId="0" applyFont="1" applyFill="1" applyBorder="1" applyAlignment="1" applyProtection="1">
      <alignment vertical="center"/>
    </xf>
    <xf numFmtId="0" fontId="1" fillId="3" borderId="9" xfId="0" applyFont="1" applyFill="1" applyBorder="1" applyAlignment="1" applyProtection="1">
      <alignment vertical="center"/>
    </xf>
    <xf numFmtId="0" fontId="1" fillId="3" borderId="11" xfId="3" applyFont="1" applyBorder="1">
      <alignment horizontal="center" vertical="center"/>
    </xf>
    <xf numFmtId="3" fontId="1" fillId="5" borderId="5" xfId="12" applyFont="1" applyBorder="1">
      <alignment horizontal="right" vertical="center"/>
      <protection locked="0"/>
    </xf>
    <xf numFmtId="3" fontId="1" fillId="4" borderId="5" xfId="7" applyFont="1" applyBorder="1">
      <alignment horizontal="right" vertical="center"/>
    </xf>
    <xf numFmtId="0" fontId="1" fillId="3" borderId="7" xfId="3" applyFont="1" applyBorder="1">
      <alignment horizontal="center" vertical="center"/>
    </xf>
    <xf numFmtId="3" fontId="1" fillId="2" borderId="6" xfId="1" applyFont="1" applyBorder="1" applyAlignment="1" applyProtection="1">
      <alignment horizontal="center" vertical="center"/>
    </xf>
    <xf numFmtId="0" fontId="0" fillId="2" borderId="1" xfId="0" applyFont="1" applyFill="1" applyBorder="1" applyAlignment="1">
      <alignment horizontal="left" vertical="center" indent="1"/>
    </xf>
    <xf numFmtId="0" fontId="0" fillId="2" borderId="1" xfId="0" applyFont="1" applyFill="1" applyBorder="1" applyAlignment="1">
      <alignment horizontal="left" vertical="center" indent="2"/>
    </xf>
    <xf numFmtId="3" fontId="1" fillId="4" borderId="1" xfId="7" applyFont="1">
      <alignment horizontal="right" vertical="center"/>
    </xf>
    <xf numFmtId="0" fontId="1" fillId="4" borderId="1" xfId="10" applyFont="1" applyBorder="1">
      <alignment horizontal="left" vertical="center"/>
    </xf>
    <xf numFmtId="3" fontId="1" fillId="7" borderId="1" xfId="21" applyFont="1" applyBorder="1">
      <alignment horizontal="right" vertical="center"/>
      <protection locked="0"/>
    </xf>
    <xf numFmtId="3" fontId="1" fillId="2" borderId="1" xfId="31" quotePrefix="1" applyFont="1">
      <alignment horizontal="right" vertical="center"/>
    </xf>
    <xf numFmtId="2" fontId="3" fillId="3" borderId="5" xfId="3" applyNumberFormat="1" applyFont="1" applyBorder="1">
      <alignment horizontal="center" vertical="center"/>
    </xf>
    <xf numFmtId="0" fontId="1" fillId="0" borderId="1" xfId="0" applyFont="1" applyFill="1" applyBorder="1" applyAlignment="1" applyProtection="1">
      <alignment horizontal="left" vertical="center" wrapText="1" indent="1"/>
    </xf>
    <xf numFmtId="0" fontId="1" fillId="0" borderId="1" xfId="0" applyFont="1" applyFill="1" applyBorder="1" applyAlignment="1" applyProtection="1">
      <alignment horizontal="left" vertical="center" wrapText="1" indent="2"/>
    </xf>
    <xf numFmtId="0" fontId="0" fillId="0" borderId="1" xfId="0" applyFont="1" applyFill="1" applyBorder="1" applyAlignment="1" applyProtection="1">
      <alignment horizontal="left" vertical="center" wrapText="1" indent="2"/>
    </xf>
    <xf numFmtId="0" fontId="9" fillId="2" borderId="15" xfId="0" applyFont="1" applyFill="1" applyBorder="1" applyProtection="1">
      <alignment vertical="center"/>
    </xf>
    <xf numFmtId="0" fontId="9" fillId="2" borderId="7" xfId="0" applyFont="1" applyFill="1" applyBorder="1" applyProtection="1">
      <alignment vertical="center"/>
    </xf>
    <xf numFmtId="0" fontId="9" fillId="2" borderId="13" xfId="0" applyFont="1" applyFill="1" applyBorder="1" applyProtection="1">
      <alignment vertical="center"/>
    </xf>
    <xf numFmtId="0" fontId="2" fillId="2" borderId="2" xfId="5" applyFont="1" applyFill="1" applyBorder="1" applyAlignment="1">
      <alignment vertical="center"/>
    </xf>
    <xf numFmtId="2" fontId="3" fillId="3" borderId="15" xfId="3" applyNumberFormat="1" applyFont="1" applyBorder="1">
      <alignment horizontal="center" vertical="center"/>
    </xf>
    <xf numFmtId="2" fontId="3" fillId="3" borderId="7" xfId="3" applyNumberFormat="1" applyFont="1" applyBorder="1">
      <alignment horizontal="center" vertical="center"/>
    </xf>
    <xf numFmtId="2" fontId="3" fillId="3" borderId="13" xfId="3" applyNumberFormat="1" applyFont="1" applyBorder="1">
      <alignment horizontal="center" vertical="center"/>
    </xf>
    <xf numFmtId="2" fontId="3" fillId="3" borderId="12" xfId="3" applyNumberFormat="1" applyFont="1" applyBorder="1">
      <alignment horizontal="center" vertical="center"/>
    </xf>
    <xf numFmtId="2" fontId="3" fillId="3" borderId="10" xfId="3" applyNumberFormat="1" applyFont="1" applyBorder="1">
      <alignment horizontal="center" vertical="center"/>
    </xf>
    <xf numFmtId="2" fontId="3" fillId="3" borderId="9" xfId="3" applyNumberFormat="1" applyFont="1" applyBorder="1">
      <alignment horizontal="center" vertical="center"/>
    </xf>
    <xf numFmtId="0" fontId="9" fillId="3" borderId="5" xfId="3" applyFont="1" applyBorder="1" applyProtection="1">
      <alignment horizontal="center" vertical="center"/>
    </xf>
    <xf numFmtId="0" fontId="9" fillId="3" borderId="3" xfId="3" applyFont="1" applyBorder="1" applyProtection="1">
      <alignment horizontal="center" vertical="center"/>
    </xf>
    <xf numFmtId="0" fontId="9" fillId="3" borderId="11" xfId="3" applyFont="1" applyBorder="1" applyProtection="1">
      <alignment horizontal="center" vertical="center"/>
    </xf>
    <xf numFmtId="2" fontId="3" fillId="3" borderId="3" xfId="0" applyNumberFormat="1" applyFont="1" applyFill="1" applyBorder="1" applyAlignment="1">
      <alignment horizontal="center"/>
    </xf>
    <xf numFmtId="2" fontId="3" fillId="3" borderId="11" xfId="0" applyNumberFormat="1" applyFont="1" applyFill="1" applyBorder="1" applyAlignment="1">
      <alignment horizontal="center"/>
    </xf>
    <xf numFmtId="2" fontId="3" fillId="3" borderId="5" xfId="0" applyNumberFormat="1" applyFont="1" applyFill="1" applyBorder="1" applyAlignment="1">
      <alignment horizontal="center"/>
    </xf>
    <xf numFmtId="2" fontId="9" fillId="3" borderId="3" xfId="0" applyNumberFormat="1" applyFont="1" applyFill="1" applyBorder="1" applyAlignment="1">
      <alignment horizontal="center"/>
    </xf>
    <xf numFmtId="2" fontId="9" fillId="3" borderId="5" xfId="0" applyNumberFormat="1" applyFont="1" applyFill="1" applyBorder="1" applyAlignment="1">
      <alignment horizontal="center"/>
    </xf>
    <xf numFmtId="2" fontId="9" fillId="3" borderId="3" xfId="3" applyNumberFormat="1" applyFont="1" applyBorder="1">
      <alignment horizontal="center" vertical="center"/>
    </xf>
    <xf numFmtId="2" fontId="9" fillId="3" borderId="5" xfId="3" applyNumberFormat="1" applyFont="1" applyBorder="1">
      <alignment horizontal="center" vertical="center"/>
    </xf>
    <xf numFmtId="2" fontId="3" fillId="3" borderId="11" xfId="3" applyNumberFormat="1" applyFont="1" applyBorder="1">
      <alignment horizontal="center" vertical="center"/>
    </xf>
    <xf numFmtId="2" fontId="3" fillId="3" borderId="3" xfId="3" applyNumberFormat="1" applyFont="1" applyBorder="1">
      <alignment horizontal="center" vertical="center"/>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1" fillId="2" borderId="1" xfId="2" applyBorder="1">
      <alignment horizontal="center" vertical="center"/>
    </xf>
    <xf numFmtId="2" fontId="12" fillId="13" borderId="1" xfId="32" applyNumberFormat="1" applyFont="1" applyFill="1" applyProtection="1">
      <alignment horizontal="right" vertical="center"/>
    </xf>
    <xf numFmtId="3" fontId="12" fillId="13" borderId="1" xfId="31" applyFont="1" applyFill="1" applyProtection="1">
      <alignment horizontal="right" vertical="center"/>
    </xf>
    <xf numFmtId="0" fontId="13" fillId="2" borderId="1" xfId="0"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indent="4"/>
    </xf>
    <xf numFmtId="0" fontId="0" fillId="2" borderId="1" xfId="0" applyFont="1" applyFill="1" applyBorder="1" applyAlignment="1" applyProtection="1">
      <alignment horizontal="left" vertical="center" wrapText="1" indent="3"/>
    </xf>
    <xf numFmtId="0" fontId="1" fillId="2" borderId="1" xfId="0" applyFont="1" applyFill="1" applyBorder="1" applyAlignment="1" applyProtection="1">
      <alignment horizontal="left" vertical="center" wrapText="1" indent="5"/>
    </xf>
    <xf numFmtId="0" fontId="0" fillId="2" borderId="1" xfId="0" applyFont="1" applyFill="1" applyBorder="1" applyAlignment="1" applyProtection="1">
      <alignment horizontal="left" vertical="center" wrapText="1" indent="4"/>
    </xf>
    <xf numFmtId="3" fontId="12" fillId="13" borderId="1" xfId="3" applyNumberFormat="1" applyFont="1" applyFill="1" applyBorder="1" applyProtection="1">
      <alignment horizontal="center" vertical="center"/>
    </xf>
    <xf numFmtId="0" fontId="12" fillId="2" borderId="1" xfId="0" applyFont="1" applyFill="1" applyBorder="1" applyAlignment="1" applyProtection="1">
      <alignment horizontal="left" vertical="center" indent="2"/>
    </xf>
    <xf numFmtId="0" fontId="0" fillId="0" borderId="1" xfId="0" applyFont="1" applyBorder="1" applyAlignment="1" applyProtection="1">
      <alignment horizontal="left" vertical="center" wrapText="1" indent="1"/>
    </xf>
    <xf numFmtId="0" fontId="1" fillId="2" borderId="1" xfId="6" applyFont="1" applyFill="1" applyBorder="1" applyAlignment="1" applyProtection="1">
      <alignment horizontal="center" vertical="center" wrapText="1"/>
    </xf>
    <xf numFmtId="3" fontId="12" fillId="13" borderId="1" xfId="3" applyNumberFormat="1" applyFont="1" applyFill="1" applyBorder="1" applyProtection="1">
      <alignment horizontal="center" vertical="center"/>
    </xf>
    <xf numFmtId="3" fontId="13" fillId="3" borderId="1" xfId="3" applyNumberFormat="1" applyFont="1" applyBorder="1" applyAlignment="1" applyProtection="1">
      <alignment horizontal="left" vertical="center"/>
    </xf>
    <xf numFmtId="0" fontId="12" fillId="4" borderId="3" xfId="10" applyFont="1" applyBorder="1" applyAlignment="1" applyProtection="1">
      <alignment horizontal="center" vertical="center"/>
    </xf>
    <xf numFmtId="3" fontId="12" fillId="3" borderId="1" xfId="3" applyNumberFormat="1" applyFont="1" applyBorder="1" applyAlignment="1" applyProtection="1">
      <alignment horizontal="right" wrapText="1"/>
    </xf>
    <xf numFmtId="3" fontId="12" fillId="3" borderId="1" xfId="3" applyNumberFormat="1" applyFont="1" applyBorder="1" applyAlignment="1" applyProtection="1">
      <alignment horizontal="right" vertical="center" wrapText="1"/>
    </xf>
    <xf numFmtId="2" fontId="12" fillId="2" borderId="1" xfId="32" applyNumberFormat="1" applyFont="1" applyAlignment="1" applyProtection="1">
      <alignment horizontal="right" vertical="center"/>
    </xf>
    <xf numFmtId="4" fontId="12" fillId="3" borderId="1" xfId="3" applyNumberFormat="1" applyFont="1" applyBorder="1" applyAlignment="1" applyProtection="1">
      <alignment horizontal="right" vertical="center" wrapText="1"/>
    </xf>
    <xf numFmtId="4" fontId="12" fillId="2" borderId="1" xfId="32" applyNumberFormat="1" applyFont="1" applyAlignment="1" applyProtection="1">
      <alignment horizontal="right" vertical="center"/>
    </xf>
    <xf numFmtId="4" fontId="12" fillId="13" borderId="1" xfId="32" applyNumberFormat="1" applyFont="1" applyFill="1" applyAlignment="1" applyProtection="1">
      <alignment horizontal="right" vertical="center"/>
    </xf>
    <xf numFmtId="2" fontId="12" fillId="13" borderId="1" xfId="3" applyNumberFormat="1" applyFont="1" applyFill="1" applyBorder="1" applyAlignment="1" applyProtection="1">
      <alignment horizontal="right" vertical="center" wrapText="1"/>
    </xf>
    <xf numFmtId="4" fontId="12" fillId="13" borderId="1" xfId="3" applyNumberFormat="1" applyFont="1" applyFill="1" applyBorder="1" applyAlignment="1" applyProtection="1">
      <alignment horizontal="right" vertical="center" wrapText="1"/>
    </xf>
    <xf numFmtId="2" fontId="12" fillId="13" borderId="1" xfId="32" applyNumberFormat="1" applyFont="1" applyFill="1" applyAlignment="1" applyProtection="1">
      <alignment horizontal="right" vertical="center"/>
    </xf>
    <xf numFmtId="2" fontId="12" fillId="2" borderId="0" xfId="32" applyNumberFormat="1" applyFont="1" applyFill="1" applyBorder="1" applyProtection="1">
      <alignment horizontal="right" vertical="center"/>
    </xf>
    <xf numFmtId="0" fontId="12" fillId="13" borderId="1" xfId="0" applyFont="1" applyFill="1" applyBorder="1" applyAlignment="1" applyProtection="1">
      <alignment horizontal="left" vertical="center" wrapText="1"/>
    </xf>
    <xf numFmtId="3" fontId="12" fillId="13" borderId="1" xfId="31" applyFont="1" applyFill="1">
      <alignment horizontal="right" vertical="center"/>
    </xf>
    <xf numFmtId="2" fontId="0" fillId="12" borderId="1" xfId="50" applyNumberFormat="1" applyFont="1" applyAlignment="1">
      <alignment vertical="center"/>
    </xf>
    <xf numFmtId="0" fontId="0" fillId="2" borderId="3" xfId="0" applyFont="1" applyFill="1" applyBorder="1" applyAlignment="1" applyProtection="1">
      <alignment horizontal="left" vertical="center" indent="2"/>
    </xf>
    <xf numFmtId="0" fontId="12" fillId="2" borderId="3" xfId="0" applyFont="1" applyFill="1" applyBorder="1" applyAlignment="1" applyProtection="1">
      <alignment horizontal="left" vertical="center" indent="1"/>
    </xf>
    <xf numFmtId="0" fontId="12" fillId="2" borderId="3" xfId="0" applyFont="1" applyFill="1" applyBorder="1" applyAlignment="1" applyProtection="1">
      <alignment horizontal="left" vertical="center" wrapText="1" indent="1"/>
    </xf>
    <xf numFmtId="0" fontId="12" fillId="2" borderId="3" xfId="0" applyFont="1" applyFill="1" applyBorder="1" applyAlignment="1" applyProtection="1">
      <alignment horizontal="left" vertical="center"/>
    </xf>
    <xf numFmtId="0" fontId="12" fillId="2" borderId="3" xfId="0" applyFont="1" applyFill="1" applyBorder="1" applyAlignment="1" applyProtection="1">
      <alignment vertical="center"/>
    </xf>
    <xf numFmtId="0" fontId="12" fillId="2" borderId="11" xfId="0" applyFont="1" applyFill="1" applyBorder="1" applyAlignment="1" applyProtection="1">
      <alignment vertical="center"/>
    </xf>
    <xf numFmtId="0" fontId="12" fillId="2" borderId="5" xfId="0" applyFont="1" applyFill="1" applyBorder="1" applyAlignment="1" applyProtection="1">
      <alignment vertical="center"/>
    </xf>
    <xf numFmtId="49" fontId="12" fillId="2" borderId="1" xfId="0" applyNumberFormat="1" applyFont="1" applyFill="1" applyBorder="1" applyAlignment="1" applyProtection="1">
      <alignment horizontal="left" vertical="center" wrapText="1" indent="2"/>
    </xf>
    <xf numFmtId="49" fontId="12" fillId="2" borderId="1" xfId="0" applyNumberFormat="1" applyFont="1" applyFill="1" applyBorder="1" applyAlignment="1" applyProtection="1">
      <alignment horizontal="left" vertical="center" wrapText="1" indent="3"/>
    </xf>
    <xf numFmtId="2" fontId="12" fillId="3" borderId="1" xfId="3" applyNumberFormat="1" applyFont="1" applyBorder="1">
      <alignment horizontal="center" vertical="center"/>
    </xf>
    <xf numFmtId="3" fontId="12" fillId="3" borderId="1" xfId="3" applyNumberFormat="1" applyFont="1" applyBorder="1">
      <alignment horizontal="center" vertical="center"/>
    </xf>
    <xf numFmtId="3" fontId="13" fillId="3" borderId="1" xfId="3" applyNumberFormat="1" applyFont="1" applyBorder="1">
      <alignment horizontal="center" vertical="center"/>
    </xf>
    <xf numFmtId="3" fontId="12" fillId="5" borderId="1" xfId="12" applyNumberFormat="1" applyFont="1" applyBorder="1" applyAlignment="1" applyProtection="1">
      <alignment horizontal="right" vertical="center"/>
      <protection locked="0"/>
    </xf>
    <xf numFmtId="3" fontId="12" fillId="7" borderId="1" xfId="21" applyFont="1" applyAlignment="1">
      <alignment horizontal="right" vertical="center"/>
      <protection locked="0"/>
    </xf>
    <xf numFmtId="0" fontId="1" fillId="2" borderId="1" xfId="0" applyFont="1" applyFill="1" applyBorder="1" applyAlignment="1">
      <alignment vertical="center" wrapText="1"/>
    </xf>
    <xf numFmtId="2" fontId="12" fillId="3" borderId="3" xfId="3" applyNumberFormat="1" applyFont="1" applyBorder="1">
      <alignment horizontal="center" vertical="center"/>
    </xf>
    <xf numFmtId="2" fontId="12" fillId="3" borderId="11" xfId="3" applyNumberFormat="1" applyFont="1" applyBorder="1">
      <alignment horizontal="center" vertical="center"/>
    </xf>
    <xf numFmtId="2" fontId="12" fillId="3" borderId="5" xfId="3" applyNumberFormat="1" applyFont="1" applyBorder="1">
      <alignment horizontal="center" vertical="center"/>
    </xf>
    <xf numFmtId="2" fontId="13" fillId="3" borderId="1" xfId="3" applyNumberFormat="1" applyFont="1" applyBorder="1">
      <alignment horizontal="center" vertical="center"/>
    </xf>
    <xf numFmtId="4" fontId="12" fillId="3" borderId="1" xfId="3" applyNumberFormat="1" applyFont="1" applyBorder="1">
      <alignment horizontal="center" vertical="center"/>
    </xf>
    <xf numFmtId="3" fontId="1" fillId="3" borderId="1" xfId="3" applyNumberFormat="1" applyFont="1" applyBorder="1">
      <alignment horizontal="center" vertical="center"/>
    </xf>
    <xf numFmtId="3" fontId="1" fillId="3" borderId="5" xfId="3" applyNumberFormat="1" applyFont="1" applyBorder="1">
      <alignment horizontal="center" vertical="center"/>
    </xf>
    <xf numFmtId="3" fontId="12" fillId="3" borderId="5" xfId="3" applyNumberFormat="1" applyFont="1" applyBorder="1">
      <alignment horizontal="center" vertical="center"/>
    </xf>
    <xf numFmtId="2" fontId="12" fillId="3" borderId="1" xfId="3" applyNumberFormat="1" applyFont="1">
      <alignment horizontal="center" vertical="center"/>
    </xf>
    <xf numFmtId="1" fontId="12" fillId="3" borderId="1" xfId="3" applyNumberFormat="1" applyFont="1" applyBorder="1">
      <alignment horizontal="center" vertical="center"/>
    </xf>
    <xf numFmtId="4" fontId="12" fillId="3" borderId="1" xfId="3" applyNumberFormat="1" applyFont="1">
      <alignment horizontal="center" vertical="center"/>
    </xf>
    <xf numFmtId="3" fontId="13" fillId="3" borderId="7" xfId="3" applyNumberFormat="1" applyFont="1" applyBorder="1">
      <alignment horizontal="center" vertical="center"/>
    </xf>
    <xf numFmtId="3" fontId="12" fillId="3" borderId="11" xfId="3" applyNumberFormat="1" applyFont="1" applyBorder="1">
      <alignment horizontal="center" vertical="center"/>
    </xf>
    <xf numFmtId="3" fontId="12" fillId="3" borderId="1" xfId="3" applyNumberFormat="1" applyFont="1">
      <alignment horizontal="center" vertical="center"/>
    </xf>
    <xf numFmtId="3" fontId="13" fillId="2" borderId="1" xfId="31" applyFont="1" applyAlignment="1" applyProtection="1">
      <alignment horizontal="right" vertical="center"/>
    </xf>
    <xf numFmtId="3" fontId="12" fillId="2" borderId="1" xfId="31" applyFont="1" applyAlignment="1" applyProtection="1">
      <alignment horizontal="right" vertical="center"/>
    </xf>
    <xf numFmtId="3" fontId="12" fillId="13" borderId="1" xfId="31" applyFont="1" applyFill="1" applyAlignment="1" applyProtection="1">
      <alignment horizontal="right" vertical="center"/>
    </xf>
    <xf numFmtId="3" fontId="12" fillId="13" borderId="1" xfId="12" applyNumberFormat="1" applyFont="1" applyFill="1" applyBorder="1" applyAlignment="1" applyProtection="1">
      <alignment horizontal="right" vertical="center"/>
    </xf>
    <xf numFmtId="3" fontId="13" fillId="13" borderId="1" xfId="12" applyNumberFormat="1" applyFont="1" applyFill="1" applyBorder="1" applyAlignment="1" applyProtection="1">
      <alignment horizontal="right" vertical="center"/>
    </xf>
    <xf numFmtId="3" fontId="12" fillId="3" borderId="1" xfId="3" applyNumberFormat="1" applyFont="1" applyBorder="1" applyAlignment="1">
      <alignment horizontal="right" vertical="center"/>
    </xf>
    <xf numFmtId="0" fontId="1" fillId="3" borderId="3" xfId="3" applyFont="1" applyBorder="1" applyAlignment="1">
      <alignment horizontal="right" vertical="center"/>
    </xf>
    <xf numFmtId="0" fontId="1" fillId="3" borderId="5" xfId="3" applyFont="1" applyBorder="1" applyAlignment="1">
      <alignment horizontal="right" vertical="center"/>
    </xf>
    <xf numFmtId="0" fontId="12" fillId="3" borderId="1" xfId="3" applyFont="1" applyBorder="1" applyAlignment="1">
      <alignment horizontal="right" vertical="center"/>
    </xf>
    <xf numFmtId="3" fontId="13" fillId="3" borderId="1" xfId="3" applyNumberFormat="1" applyFont="1" applyBorder="1" applyAlignment="1">
      <alignment horizontal="right" vertical="center"/>
    </xf>
    <xf numFmtId="0" fontId="13" fillId="3" borderId="1" xfId="3" applyFont="1" applyBorder="1" applyAlignment="1">
      <alignment horizontal="right" vertical="center"/>
    </xf>
    <xf numFmtId="0" fontId="1" fillId="3" borderId="3" xfId="3" applyFont="1" applyBorder="1" applyAlignment="1" applyProtection="1">
      <alignment horizontal="right" vertical="center"/>
    </xf>
    <xf numFmtId="0" fontId="1" fillId="3" borderId="5" xfId="3" applyFont="1" applyBorder="1" applyAlignment="1" applyProtection="1">
      <alignment horizontal="right" vertical="center"/>
    </xf>
    <xf numFmtId="3" fontId="12" fillId="2" borderId="1" xfId="31" applyFont="1" applyAlignment="1">
      <alignment horizontal="right" vertical="center"/>
    </xf>
    <xf numFmtId="2" fontId="12" fillId="3" borderId="1" xfId="3" applyNumberFormat="1" applyFont="1" applyBorder="1" applyAlignment="1">
      <alignment horizontal="right" vertical="center"/>
    </xf>
    <xf numFmtId="3" fontId="13" fillId="2" borderId="1" xfId="31" applyFont="1" applyAlignment="1">
      <alignment horizontal="right" vertical="center"/>
    </xf>
    <xf numFmtId="3" fontId="13" fillId="3" borderId="1" xfId="3" applyNumberFormat="1" applyFont="1" applyBorder="1" applyAlignment="1" applyProtection="1">
      <alignment horizontal="right" vertical="center" wrapText="1"/>
    </xf>
    <xf numFmtId="0" fontId="13" fillId="3" borderId="1" xfId="3" applyFont="1" applyBorder="1" applyAlignment="1" applyProtection="1">
      <alignment horizontal="right" vertical="center" wrapText="1"/>
    </xf>
    <xf numFmtId="3" fontId="12" fillId="5" borderId="1" xfId="12" applyFont="1" applyAlignment="1" applyProtection="1">
      <alignment horizontal="right" vertical="center"/>
      <protection locked="0"/>
    </xf>
    <xf numFmtId="2" fontId="12" fillId="3" borderId="1" xfId="3" applyNumberFormat="1" applyFont="1" applyBorder="1" applyAlignment="1">
      <alignment horizontal="center" vertical="center"/>
    </xf>
    <xf numFmtId="3" fontId="12" fillId="3" borderId="1" xfId="3" applyNumberFormat="1" applyFont="1" applyBorder="1" applyAlignment="1">
      <alignment horizontal="center" vertical="center"/>
    </xf>
    <xf numFmtId="3" fontId="13" fillId="3" borderId="1" xfId="3" applyNumberFormat="1" applyFont="1" applyBorder="1" applyAlignment="1" applyProtection="1">
      <alignment horizontal="right" vertical="center"/>
    </xf>
    <xf numFmtId="3" fontId="12" fillId="5" borderId="1" xfId="12" applyFont="1" applyBorder="1" applyAlignment="1" applyProtection="1">
      <alignment horizontal="right" vertical="center"/>
      <protection locked="0"/>
    </xf>
    <xf numFmtId="2" fontId="13" fillId="3" borderId="1" xfId="3" applyNumberFormat="1" applyFont="1" applyBorder="1" applyAlignment="1" applyProtection="1">
      <alignment horizontal="right" vertical="center" wrapText="1"/>
    </xf>
    <xf numFmtId="2" fontId="12" fillId="2" borderId="1" xfId="32" applyNumberFormat="1" applyFont="1" applyBorder="1" applyAlignment="1" applyProtection="1">
      <alignment horizontal="right" vertical="center"/>
    </xf>
    <xf numFmtId="3" fontId="12" fillId="2" borderId="1" xfId="31" applyFont="1" applyBorder="1" applyAlignment="1" applyProtection="1">
      <alignment horizontal="right" vertical="center"/>
    </xf>
    <xf numFmtId="3" fontId="1" fillId="2" borderId="1" xfId="31" applyFont="1" applyBorder="1" applyAlignment="1" applyProtection="1">
      <alignment horizontal="right" vertical="center"/>
    </xf>
    <xf numFmtId="3" fontId="13" fillId="2" borderId="1" xfId="31" applyFont="1" applyBorder="1" applyAlignment="1" applyProtection="1">
      <alignment horizontal="right" vertical="center"/>
    </xf>
    <xf numFmtId="0" fontId="1" fillId="3" borderId="1" xfId="3" applyFont="1" applyBorder="1" applyAlignment="1" applyProtection="1">
      <alignment horizontal="right" vertical="center"/>
    </xf>
    <xf numFmtId="3" fontId="1" fillId="3" borderId="1" xfId="3" applyNumberFormat="1" applyFont="1" applyBorder="1" applyAlignment="1" applyProtection="1">
      <alignment horizontal="right" vertical="center"/>
    </xf>
    <xf numFmtId="2" fontId="12" fillId="3" borderId="1" xfId="3" applyNumberFormat="1" applyFont="1" applyBorder="1" applyAlignment="1" applyProtection="1">
      <alignment horizontal="right" vertical="center"/>
    </xf>
    <xf numFmtId="0" fontId="12" fillId="3" borderId="1" xfId="3" applyFont="1" applyBorder="1" applyAlignment="1" applyProtection="1">
      <alignment horizontal="right" vertical="center"/>
    </xf>
    <xf numFmtId="3" fontId="12" fillId="3" borderId="1" xfId="3" applyNumberFormat="1" applyFont="1" applyBorder="1" applyAlignment="1" applyProtection="1">
      <alignment horizontal="right" vertical="center"/>
    </xf>
    <xf numFmtId="0" fontId="12" fillId="4" borderId="3" xfId="10" applyFont="1" applyBorder="1" applyAlignment="1" applyProtection="1">
      <alignment horizontal="left" vertical="center"/>
    </xf>
    <xf numFmtId="0" fontId="12" fillId="4" borderId="11" xfId="10" applyFont="1" applyBorder="1" applyAlignment="1" applyProtection="1">
      <alignment horizontal="left" vertical="center"/>
    </xf>
    <xf numFmtId="0" fontId="12" fillId="4" borderId="5" xfId="10" applyFont="1" applyBorder="1" applyAlignment="1" applyProtection="1">
      <alignment horizontal="left" vertical="center"/>
    </xf>
    <xf numFmtId="3" fontId="12" fillId="4" borderId="1" xfId="7" applyFont="1" applyBorder="1" applyAlignment="1" applyProtection="1">
      <alignment horizontal="right" vertical="center"/>
    </xf>
    <xf numFmtId="3" fontId="1" fillId="3" borderId="1" xfId="3" applyNumberFormat="1" applyFont="1" applyBorder="1" applyAlignment="1">
      <alignment horizontal="center" vertical="center"/>
    </xf>
    <xf numFmtId="4" fontId="12" fillId="3" borderId="1" xfId="3" applyNumberFormat="1" applyFont="1" applyBorder="1" applyAlignment="1">
      <alignment horizontal="center" vertical="center"/>
    </xf>
    <xf numFmtId="3" fontId="12" fillId="3" borderId="5" xfId="3" applyNumberFormat="1" applyFont="1" applyBorder="1" applyAlignment="1">
      <alignment horizontal="right" vertical="center"/>
    </xf>
    <xf numFmtId="3" fontId="1" fillId="3" borderId="1" xfId="3" applyNumberFormat="1" applyFont="1" applyBorder="1" applyAlignment="1">
      <alignment horizontal="right" vertical="center"/>
    </xf>
    <xf numFmtId="1" fontId="12" fillId="3" borderId="1" xfId="3" applyNumberFormat="1" applyFont="1" applyBorder="1" applyAlignment="1">
      <alignment horizontal="right" vertical="center"/>
    </xf>
    <xf numFmtId="4" fontId="12" fillId="3" borderId="1" xfId="3" applyNumberFormat="1" applyFont="1" applyBorder="1" applyAlignment="1">
      <alignment horizontal="right" vertical="center"/>
    </xf>
    <xf numFmtId="2" fontId="12" fillId="3" borderId="1" xfId="3" applyNumberFormat="1" applyFont="1" applyAlignment="1">
      <alignment horizontal="right" vertical="center"/>
    </xf>
    <xf numFmtId="4" fontId="12" fillId="3" borderId="1" xfId="3" applyNumberFormat="1" applyFont="1" applyAlignment="1">
      <alignment horizontal="right" vertical="center"/>
    </xf>
    <xf numFmtId="0" fontId="0" fillId="14" borderId="0" xfId="0" applyFont="1" applyFill="1" applyAlignment="1">
      <alignment vertical="center"/>
    </xf>
    <xf numFmtId="0" fontId="0" fillId="14" borderId="0" xfId="0" applyFill="1">
      <alignment vertical="center"/>
    </xf>
    <xf numFmtId="0" fontId="3" fillId="2" borderId="3" xfId="5" applyFont="1" applyFill="1" applyBorder="1" applyAlignment="1" applyProtection="1">
      <alignment horizontal="center" vertical="center" wrapText="1"/>
    </xf>
    <xf numFmtId="0" fontId="3" fillId="2" borderId="5" xfId="6" applyFont="1" applyFill="1" applyBorder="1" applyAlignment="1">
      <alignment horizontal="center" vertical="center" wrapText="1"/>
    </xf>
    <xf numFmtId="0" fontId="1" fillId="14" borderId="0" xfId="0" applyFont="1" applyFill="1" applyBorder="1" applyAlignment="1">
      <alignment vertical="center"/>
    </xf>
    <xf numFmtId="0" fontId="1" fillId="14" borderId="7" xfId="0" applyFont="1" applyFill="1" applyBorder="1" applyAlignment="1">
      <alignment vertical="center"/>
    </xf>
    <xf numFmtId="0" fontId="0" fillId="2" borderId="1" xfId="0" applyFont="1" applyFill="1" applyBorder="1" applyAlignment="1">
      <alignment vertical="center" wrapText="1"/>
    </xf>
    <xf numFmtId="0" fontId="0" fillId="2" borderId="3" xfId="0" applyFont="1" applyFill="1" applyBorder="1" applyAlignment="1">
      <alignment vertical="center" wrapText="1"/>
    </xf>
    <xf numFmtId="3" fontId="1" fillId="2" borderId="1" xfId="1" applyFont="1" applyAlignment="1" applyProtection="1">
      <alignment horizontal="center" vertical="center"/>
    </xf>
    <xf numFmtId="0" fontId="0" fillId="0" borderId="3" xfId="0" applyFont="1" applyFill="1" applyBorder="1" applyAlignment="1" applyProtection="1">
      <alignment vertical="center" wrapText="1"/>
    </xf>
    <xf numFmtId="0" fontId="0" fillId="0" borderId="3" xfId="0" applyFont="1" applyFill="1" applyBorder="1" applyAlignment="1" applyProtection="1">
      <alignment horizontal="left" vertical="center" wrapText="1" indent="1"/>
    </xf>
    <xf numFmtId="3" fontId="17" fillId="3" borderId="1" xfId="3" applyNumberFormat="1" applyFont="1">
      <alignment horizontal="center" vertical="center"/>
    </xf>
    <xf numFmtId="2" fontId="17" fillId="3" borderId="1" xfId="3" applyNumberFormat="1" applyFont="1">
      <alignment horizontal="center" vertical="center"/>
    </xf>
    <xf numFmtId="3" fontId="9" fillId="3" borderId="1" xfId="3" applyNumberFormat="1" applyFont="1">
      <alignment horizontal="center" vertical="center"/>
    </xf>
    <xf numFmtId="2" fontId="9" fillId="3" borderId="11" xfId="0" applyNumberFormat="1" applyFont="1" applyFill="1" applyBorder="1" applyAlignment="1">
      <alignment horizontal="center"/>
    </xf>
    <xf numFmtId="0" fontId="9" fillId="3" borderId="10" xfId="3" applyFont="1" applyBorder="1" applyProtection="1">
      <alignment horizontal="center" vertical="center"/>
    </xf>
    <xf numFmtId="0" fontId="9" fillId="3" borderId="9" xfId="3" applyFont="1" applyBorder="1" applyProtection="1">
      <alignment horizontal="center" vertical="center"/>
    </xf>
    <xf numFmtId="2" fontId="9" fillId="3" borderId="12" xfId="0" applyNumberFormat="1" applyFont="1" applyFill="1" applyBorder="1" applyAlignment="1">
      <alignment horizontal="center"/>
    </xf>
    <xf numFmtId="2" fontId="3" fillId="3" borderId="10" xfId="0" applyNumberFormat="1" applyFont="1" applyFill="1" applyBorder="1" applyAlignment="1">
      <alignment horizontal="center"/>
    </xf>
    <xf numFmtId="2" fontId="9" fillId="3" borderId="9" xfId="0" applyNumberFormat="1" applyFont="1" applyFill="1" applyBorder="1" applyAlignment="1">
      <alignment horizontal="center"/>
    </xf>
    <xf numFmtId="2" fontId="1" fillId="21" borderId="1" xfId="32" applyNumberFormat="1" applyFont="1" applyFill="1">
      <alignment horizontal="right" vertical="center"/>
    </xf>
    <xf numFmtId="0" fontId="0" fillId="2" borderId="1" xfId="0" applyFont="1" applyFill="1" applyBorder="1" applyAlignment="1" applyProtection="1">
      <alignment horizontal="left" vertical="center" wrapText="1" indent="1"/>
    </xf>
    <xf numFmtId="0" fontId="0" fillId="14" borderId="0" xfId="0" applyFont="1" applyFill="1" applyProtection="1">
      <alignment vertical="center"/>
    </xf>
    <xf numFmtId="3" fontId="1" fillId="5" borderId="11" xfId="12" applyFont="1" applyBorder="1" applyAlignment="1" applyProtection="1">
      <alignment horizontal="right" vertical="center"/>
      <protection locked="0"/>
    </xf>
    <xf numFmtId="3" fontId="1" fillId="5" borderId="5" xfId="12" applyFont="1" applyBorder="1" applyAlignment="1" applyProtection="1">
      <alignment horizontal="right" vertical="center"/>
      <protection locked="0"/>
    </xf>
    <xf numFmtId="3" fontId="1" fillId="2" borderId="3" xfId="31" applyFont="1" applyBorder="1">
      <alignment horizontal="right" vertical="center"/>
    </xf>
    <xf numFmtId="3" fontId="1" fillId="7" borderId="3" xfId="21" applyBorder="1" applyAlignment="1">
      <alignment horizontal="right" vertical="center"/>
      <protection locked="0"/>
    </xf>
    <xf numFmtId="3" fontId="1" fillId="2" borderId="11" xfId="31" applyFont="1" applyBorder="1">
      <alignment horizontal="right" vertical="center"/>
    </xf>
    <xf numFmtId="3" fontId="1" fillId="3" borderId="6" xfId="3" applyNumberFormat="1" applyFont="1" applyBorder="1" applyAlignment="1" applyProtection="1">
      <alignment horizontal="center" vertical="center"/>
    </xf>
    <xf numFmtId="0" fontId="1" fillId="4" borderId="3" xfId="10" applyFont="1" applyBorder="1" applyProtection="1">
      <alignment horizontal="left" vertical="center"/>
    </xf>
    <xf numFmtId="3" fontId="3" fillId="4" borderId="1" xfId="7" applyFont="1">
      <alignment horizontal="right" vertical="center"/>
    </xf>
    <xf numFmtId="0" fontId="0" fillId="14" borderId="0" xfId="0" applyFont="1" applyFill="1" applyBorder="1" applyAlignment="1">
      <alignment horizontal="left" vertical="center"/>
    </xf>
    <xf numFmtId="0" fontId="3" fillId="3" borderId="3" xfId="3" applyFont="1" applyBorder="1">
      <alignment horizontal="center" vertical="center"/>
    </xf>
    <xf numFmtId="0" fontId="3" fillId="3" borderId="11" xfId="3" applyFont="1" applyBorder="1">
      <alignment horizontal="center" vertical="center"/>
    </xf>
    <xf numFmtId="3" fontId="1" fillId="5" borderId="3" xfId="12" applyFont="1" applyBorder="1" applyAlignment="1" applyProtection="1">
      <alignment horizontal="right" vertical="center"/>
      <protection locked="0"/>
    </xf>
    <xf numFmtId="3" fontId="3" fillId="4" borderId="1" xfId="7" applyFont="1" applyBorder="1">
      <alignment horizontal="right" vertical="center"/>
    </xf>
    <xf numFmtId="0" fontId="0" fillId="2" borderId="1" xfId="0" applyFont="1" applyFill="1" applyBorder="1" applyAlignment="1" applyProtection="1">
      <alignment horizontal="left" vertical="center" indent="1"/>
    </xf>
    <xf numFmtId="0" fontId="33" fillId="2" borderId="0" xfId="5" applyFont="1" applyFill="1" applyBorder="1" applyProtection="1"/>
    <xf numFmtId="0" fontId="0" fillId="14" borderId="2" xfId="0" applyFont="1" applyFill="1" applyBorder="1" applyAlignment="1">
      <alignment vertical="center"/>
    </xf>
    <xf numFmtId="170" fontId="34" fillId="2" borderId="1" xfId="30" applyFont="1">
      <alignment horizontal="center" vertical="center"/>
    </xf>
    <xf numFmtId="0" fontId="1" fillId="14" borderId="0" xfId="0" applyFont="1" applyFill="1" applyProtection="1">
      <alignment vertical="center"/>
    </xf>
    <xf numFmtId="3" fontId="1" fillId="2" borderId="1" xfId="31">
      <alignment horizontal="right" vertical="center"/>
    </xf>
    <xf numFmtId="0" fontId="3" fillId="2" borderId="14" xfId="5" applyFont="1" applyFill="1" applyBorder="1" applyAlignment="1" applyProtection="1">
      <alignment horizontal="center" vertical="center" wrapText="1"/>
    </xf>
    <xf numFmtId="0" fontId="3" fillId="2" borderId="3" xfId="0" applyFont="1" applyFill="1" applyBorder="1" applyAlignment="1" applyProtection="1">
      <alignment horizontal="left" vertical="center"/>
    </xf>
    <xf numFmtId="0" fontId="0" fillId="13" borderId="1" xfId="0" applyFont="1" applyFill="1" applyBorder="1" applyAlignment="1" applyProtection="1">
      <alignment horizontal="left" vertical="center" wrapText="1"/>
    </xf>
    <xf numFmtId="0" fontId="11" fillId="2" borderId="7" xfId="4" applyFont="1" applyFill="1" applyBorder="1" applyAlignment="1"/>
    <xf numFmtId="0" fontId="2" fillId="2" borderId="3" xfId="4" applyFont="1" applyFill="1" applyBorder="1" applyAlignment="1"/>
    <xf numFmtId="0" fontId="0" fillId="2" borderId="11" xfId="0" applyFill="1" applyBorder="1">
      <alignment vertical="center"/>
    </xf>
    <xf numFmtId="0" fontId="0" fillId="2" borderId="5" xfId="0" applyFill="1" applyBorder="1">
      <alignment vertical="center"/>
    </xf>
    <xf numFmtId="0" fontId="0" fillId="2" borderId="0" xfId="0" applyFill="1" applyBorder="1">
      <alignment vertical="center"/>
    </xf>
    <xf numFmtId="0" fontId="0" fillId="2" borderId="8" xfId="0" applyFill="1" applyBorder="1">
      <alignment vertical="center"/>
    </xf>
    <xf numFmtId="0" fontId="3" fillId="2" borderId="1" xfId="85" applyFont="1" applyFill="1" applyBorder="1" applyAlignment="1" applyProtection="1">
      <alignment horizontal="center" vertical="center" wrapText="1"/>
    </xf>
    <xf numFmtId="9" fontId="3" fillId="2" borderId="14" xfId="5" applyNumberFormat="1" applyFont="1" applyFill="1" applyBorder="1" applyAlignment="1" applyProtection="1">
      <alignment horizontal="center" vertical="center" wrapText="1"/>
    </xf>
    <xf numFmtId="0" fontId="3" fillId="2" borderId="1" xfId="0" applyFont="1" applyFill="1" applyBorder="1" applyProtection="1">
      <alignment vertical="center"/>
    </xf>
    <xf numFmtId="3" fontId="1" fillId="5" borderId="1" xfId="12" applyFont="1" applyBorder="1" applyAlignment="1">
      <alignment horizontal="center" vertical="center"/>
      <protection locked="0"/>
    </xf>
    <xf numFmtId="0" fontId="0" fillId="2" borderId="3" xfId="0" applyFont="1" applyFill="1" applyBorder="1" applyAlignment="1">
      <alignment horizontal="center" vertical="center"/>
    </xf>
    <xf numFmtId="3" fontId="0" fillId="5" borderId="1" xfId="12" applyFont="1" applyBorder="1" applyAlignment="1">
      <alignment horizontal="center" vertical="center"/>
      <protection locked="0"/>
    </xf>
    <xf numFmtId="0" fontId="1" fillId="2" borderId="3" xfId="0" applyFont="1" applyFill="1" applyBorder="1" applyAlignment="1">
      <alignment horizontal="center" vertical="center"/>
    </xf>
    <xf numFmtId="3" fontId="1" fillId="5" borderId="1" xfId="12" applyBorder="1">
      <alignment horizontal="right" vertical="center"/>
      <protection locked="0"/>
    </xf>
    <xf numFmtId="3" fontId="1" fillId="3" borderId="3" xfId="3" applyNumberFormat="1" applyFont="1" applyBorder="1">
      <alignment horizontal="center" vertical="center"/>
    </xf>
    <xf numFmtId="0" fontId="0" fillId="2" borderId="1" xfId="0" applyFill="1" applyBorder="1" applyAlignment="1">
      <alignment horizontal="left" vertical="center" wrapText="1" indent="2"/>
    </xf>
    <xf numFmtId="10" fontId="1" fillId="3" borderId="1" xfId="84" applyNumberFormat="1" applyFont="1" applyFill="1" applyBorder="1" applyAlignment="1">
      <alignment horizontal="center" vertical="center"/>
    </xf>
    <xf numFmtId="0" fontId="0" fillId="13" borderId="3" xfId="0" applyFont="1" applyFill="1" applyBorder="1" applyAlignment="1" applyProtection="1">
      <alignment vertical="center"/>
    </xf>
    <xf numFmtId="3" fontId="1" fillId="13" borderId="11" xfId="3" applyNumberFormat="1" applyFont="1" applyFill="1" applyBorder="1">
      <alignment horizontal="center" vertical="center"/>
    </xf>
    <xf numFmtId="3" fontId="1" fillId="13" borderId="5" xfId="3" applyNumberFormat="1" applyFont="1" applyFill="1" applyBorder="1">
      <alignment horizontal="center" vertical="center"/>
    </xf>
    <xf numFmtId="3" fontId="1" fillId="2" borderId="1" xfId="0" applyNumberFormat="1" applyFont="1" applyFill="1" applyBorder="1" applyAlignment="1" applyProtection="1">
      <alignment vertical="center"/>
    </xf>
    <xf numFmtId="0" fontId="0" fillId="2" borderId="0" xfId="0" applyFill="1" applyBorder="1" applyAlignment="1">
      <alignment vertical="center"/>
    </xf>
    <xf numFmtId="3" fontId="0" fillId="2" borderId="1" xfId="0" applyNumberFormat="1" applyFill="1" applyBorder="1">
      <alignment vertical="center"/>
    </xf>
    <xf numFmtId="0" fontId="35" fillId="2" borderId="3" xfId="4" applyFont="1" applyFill="1" applyBorder="1" applyAlignment="1"/>
    <xf numFmtId="0" fontId="0" fillId="2" borderId="0" xfId="0" applyFill="1" applyBorder="1" applyAlignment="1">
      <alignment vertical="center" wrapText="1"/>
    </xf>
    <xf numFmtId="0" fontId="0" fillId="2" borderId="11" xfId="0" applyFill="1" applyBorder="1" applyAlignment="1">
      <alignment vertical="center" wrapText="1"/>
    </xf>
    <xf numFmtId="0" fontId="0" fillId="2" borderId="5" xfId="0" applyFill="1" applyBorder="1" applyAlignment="1">
      <alignment vertical="center" wrapText="1"/>
    </xf>
    <xf numFmtId="0" fontId="0" fillId="2" borderId="7" xfId="0" applyFill="1" applyBorder="1">
      <alignment vertical="center"/>
    </xf>
    <xf numFmtId="0" fontId="0" fillId="2" borderId="13" xfId="0" applyFill="1" applyBorder="1">
      <alignment vertical="center"/>
    </xf>
    <xf numFmtId="0" fontId="3" fillId="2" borderId="10" xfId="0" applyFont="1" applyFill="1" applyBorder="1" applyProtection="1">
      <alignment vertical="center"/>
    </xf>
    <xf numFmtId="0" fontId="0" fillId="2" borderId="10" xfId="0" applyFill="1" applyBorder="1">
      <alignment vertical="center"/>
    </xf>
    <xf numFmtId="0" fontId="0" fillId="2" borderId="9" xfId="0" applyFill="1" applyBorder="1">
      <alignment vertical="center"/>
    </xf>
    <xf numFmtId="170" fontId="0" fillId="2" borderId="11" xfId="30" applyFont="1" applyBorder="1">
      <alignment horizontal="center" vertical="center"/>
    </xf>
    <xf numFmtId="170" fontId="3" fillId="2" borderId="1" xfId="30" applyFont="1" applyBorder="1">
      <alignment horizontal="center" vertical="center"/>
    </xf>
    <xf numFmtId="170" fontId="1" fillId="2" borderId="1" xfId="30" applyFont="1" applyBorder="1">
      <alignment horizontal="center" vertical="center"/>
    </xf>
    <xf numFmtId="0" fontId="3" fillId="2" borderId="0" xfId="0" applyFont="1" applyFill="1" applyBorder="1" applyAlignment="1" applyProtection="1"/>
    <xf numFmtId="0" fontId="1" fillId="2" borderId="0" xfId="0" applyFont="1" applyFill="1" applyBorder="1" applyAlignment="1" applyProtection="1"/>
    <xf numFmtId="0" fontId="0" fillId="2" borderId="0" xfId="0" applyFont="1" applyFill="1" applyBorder="1" applyAlignment="1"/>
    <xf numFmtId="0" fontId="0" fillId="2" borderId="8" xfId="0" applyFont="1" applyFill="1" applyBorder="1" applyAlignment="1"/>
    <xf numFmtId="0" fontId="0" fillId="2" borderId="0" xfId="0" applyFont="1" applyFill="1" applyAlignment="1"/>
    <xf numFmtId="3" fontId="1" fillId="7" borderId="1" xfId="21">
      <alignment horizontal="right" vertical="center"/>
      <protection locked="0"/>
    </xf>
    <xf numFmtId="171" fontId="1" fillId="5" borderId="4" xfId="18" applyFont="1">
      <alignment horizontal="right" vertical="center"/>
      <protection locked="0"/>
    </xf>
    <xf numFmtId="49" fontId="1" fillId="5" borderId="1" xfId="20" applyFont="1">
      <alignment vertical="center"/>
      <protection locked="0"/>
    </xf>
    <xf numFmtId="164" fontId="1" fillId="7" borderId="1" xfId="28" applyNumberFormat="1">
      <alignment horizontal="center" vertical="center" wrapText="1"/>
      <protection locked="0"/>
    </xf>
    <xf numFmtId="171" fontId="1" fillId="5" borderId="1" xfId="18" applyFont="1" applyBorder="1">
      <alignment horizontal="right" vertical="center"/>
      <protection locked="0"/>
    </xf>
    <xf numFmtId="0" fontId="0" fillId="14" borderId="0" xfId="0" applyFont="1" applyFill="1">
      <alignment vertical="center"/>
    </xf>
    <xf numFmtId="0" fontId="35" fillId="4" borderId="0" xfId="89" applyNumberFormat="1" applyFont="1" applyFill="1" applyBorder="1" applyAlignment="1">
      <alignment horizontal="center" vertical="center" wrapText="1"/>
    </xf>
    <xf numFmtId="0" fontId="35" fillId="23" borderId="0" xfId="89" applyFont="1" applyFill="1" applyBorder="1" applyAlignment="1">
      <alignment horizontal="center" vertical="center" wrapText="1"/>
    </xf>
    <xf numFmtId="0" fontId="3" fillId="2" borderId="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3" fillId="2" borderId="4" xfId="5" applyFont="1" applyFill="1" applyBorder="1" applyAlignment="1" applyProtection="1">
      <alignment horizontal="center" vertical="center" wrapText="1"/>
    </xf>
    <xf numFmtId="0" fontId="3" fillId="2" borderId="14" xfId="5" applyFont="1" applyFill="1" applyBorder="1" applyAlignment="1" applyProtection="1">
      <alignment horizontal="center" vertical="center" wrapText="1"/>
    </xf>
    <xf numFmtId="0" fontId="6" fillId="2" borderId="3" xfId="5" applyFont="1" applyFill="1" applyBorder="1" applyAlignment="1" applyProtection="1">
      <alignment horizontal="center" vertical="center"/>
    </xf>
    <xf numFmtId="0" fontId="6" fillId="2" borderId="11" xfId="5" applyFont="1" applyFill="1" applyBorder="1" applyAlignment="1" applyProtection="1">
      <alignment horizontal="center" vertical="center"/>
    </xf>
    <xf numFmtId="0" fontId="6" fillId="2" borderId="5" xfId="5" applyFont="1" applyFill="1" applyBorder="1" applyAlignment="1" applyProtection="1">
      <alignment horizontal="center" vertical="center"/>
    </xf>
    <xf numFmtId="0" fontId="3" fillId="2" borderId="3" xfId="5" applyFont="1" applyFill="1" applyBorder="1" applyAlignment="1" applyProtection="1">
      <alignment horizontal="center" vertical="center" wrapText="1"/>
    </xf>
    <xf numFmtId="0" fontId="3" fillId="2" borderId="11" xfId="5" applyFont="1" applyFill="1" applyBorder="1" applyAlignment="1" applyProtection="1">
      <alignment horizontal="center" vertical="center" wrapText="1"/>
    </xf>
    <xf numFmtId="0" fontId="3" fillId="2" borderId="5" xfId="5"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0" fillId="14" borderId="2" xfId="0" applyFont="1" applyFill="1" applyBorder="1" applyAlignment="1">
      <alignment horizontal="left" vertical="center"/>
    </xf>
    <xf numFmtId="0" fontId="3" fillId="2" borderId="15" xfId="5" applyFont="1" applyFill="1" applyBorder="1" applyAlignment="1" applyProtection="1">
      <alignment horizontal="center" vertical="center" wrapText="1"/>
    </xf>
    <xf numFmtId="0" fontId="3" fillId="2" borderId="12" xfId="5" applyFont="1" applyFill="1" applyBorder="1" applyAlignment="1" applyProtection="1">
      <alignment horizontal="center" vertical="center" wrapText="1"/>
    </xf>
    <xf numFmtId="0" fontId="3" fillId="2" borderId="7" xfId="5" applyFont="1" applyFill="1" applyBorder="1" applyAlignment="1" applyProtection="1">
      <alignment horizontal="center" vertical="center" wrapText="1"/>
    </xf>
    <xf numFmtId="0" fontId="3" fillId="2" borderId="10" xfId="5"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5" applyFont="1" applyFill="1" applyBorder="1" applyAlignment="1" applyProtection="1">
      <alignment horizontal="left" wrapText="1"/>
    </xf>
    <xf numFmtId="0" fontId="2" fillId="2" borderId="0" xfId="5" applyFont="1" applyFill="1" applyBorder="1" applyAlignment="1" applyProtection="1">
      <alignment horizontal="left" wrapText="1"/>
    </xf>
    <xf numFmtId="0" fontId="4" fillId="2"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0" fillId="2" borderId="3" xfId="0" applyFont="1" applyFill="1" applyBorder="1" applyAlignment="1">
      <alignment horizontal="left" vertical="center"/>
    </xf>
    <xf numFmtId="0" fontId="0" fillId="2" borderId="5" xfId="0" applyFont="1" applyFill="1" applyBorder="1" applyAlignment="1">
      <alignment horizontal="left" vertical="center"/>
    </xf>
    <xf numFmtId="0" fontId="6" fillId="2" borderId="4"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3" fillId="2" borderId="3" xfId="6" applyFont="1" applyFill="1" applyBorder="1" applyAlignment="1">
      <alignment horizontal="center" vertical="center" wrapText="1"/>
    </xf>
    <xf numFmtId="0" fontId="3" fillId="2" borderId="5"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14" xfId="6" applyFont="1" applyFill="1" applyBorder="1" applyAlignment="1">
      <alignment horizontal="center" vertical="center" wrapText="1"/>
    </xf>
    <xf numFmtId="0" fontId="3" fillId="2" borderId="11" xfId="6"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3" xfId="0" applyFont="1" applyBorder="1" applyAlignment="1">
      <alignment horizontal="left" vertical="top" wrapText="1" indent="5"/>
    </xf>
    <xf numFmtId="0" fontId="1" fillId="0" borderId="11" xfId="0" applyFont="1" applyBorder="1" applyAlignment="1">
      <alignment horizontal="left" vertical="top" wrapText="1" indent="5"/>
    </xf>
    <xf numFmtId="0" fontId="1" fillId="0" borderId="5" xfId="0" applyFont="1" applyBorder="1" applyAlignment="1">
      <alignment horizontal="left" vertical="top" wrapText="1" indent="5"/>
    </xf>
    <xf numFmtId="0" fontId="3" fillId="2" borderId="4" xfId="6" applyFont="1" applyFill="1" applyBorder="1" applyAlignment="1" applyProtection="1">
      <alignment horizontal="center" vertical="center" wrapText="1"/>
    </xf>
    <xf numFmtId="0" fontId="3" fillId="2" borderId="14" xfId="6" applyFont="1" applyFill="1" applyBorder="1" applyAlignment="1" applyProtection="1">
      <alignment horizontal="center" vertical="center" wrapText="1"/>
    </xf>
    <xf numFmtId="0" fontId="3" fillId="2" borderId="3" xfId="6" applyFont="1" applyFill="1" applyBorder="1" applyAlignment="1" applyProtection="1">
      <alignment horizontal="center" vertical="center" wrapText="1"/>
    </xf>
    <xf numFmtId="0" fontId="3" fillId="2" borderId="11" xfId="6" applyFont="1" applyFill="1" applyBorder="1" applyAlignment="1" applyProtection="1">
      <alignment horizontal="center" vertical="center" wrapText="1"/>
    </xf>
    <xf numFmtId="0" fontId="3" fillId="2" borderId="5" xfId="6" applyFont="1" applyFill="1" applyBorder="1" applyAlignment="1" applyProtection="1">
      <alignment horizontal="center" vertical="center" wrapText="1"/>
    </xf>
    <xf numFmtId="2"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1" fillId="2" borderId="1" xfId="0" applyFont="1" applyFill="1" applyBorder="1" applyAlignment="1" applyProtection="1">
      <alignment horizontal="center"/>
    </xf>
    <xf numFmtId="0" fontId="3" fillId="2" borderId="1" xfId="0" applyFont="1" applyFill="1" applyBorder="1" applyAlignment="1">
      <alignment horizontal="center"/>
    </xf>
    <xf numFmtId="0" fontId="1" fillId="2" borderId="4" xfId="0" applyFont="1" applyFill="1" applyBorder="1" applyAlignment="1" applyProtection="1">
      <alignment horizontal="center"/>
    </xf>
    <xf numFmtId="0" fontId="9" fillId="2" borderId="14" xfId="0" applyFont="1" applyFill="1" applyBorder="1" applyAlignment="1" applyProtection="1">
      <alignment horizontal="center"/>
    </xf>
    <xf numFmtId="0" fontId="17" fillId="2" borderId="15" xfId="0" applyFont="1" applyFill="1" applyBorder="1" applyAlignment="1" applyProtection="1">
      <alignment horizontal="center"/>
    </xf>
    <xf numFmtId="0" fontId="9" fillId="2" borderId="12" xfId="0" applyFont="1" applyFill="1" applyBorder="1" applyAlignment="1" applyProtection="1">
      <alignment horizontal="center"/>
    </xf>
    <xf numFmtId="0" fontId="9" fillId="2" borderId="1" xfId="0" applyFont="1" applyFill="1" applyBorder="1" applyAlignment="1" applyProtection="1">
      <alignment horizontal="center"/>
    </xf>
    <xf numFmtId="0" fontId="3" fillId="2" borderId="11" xfId="0" applyFont="1" applyFill="1" applyBorder="1" applyAlignment="1">
      <alignment horizontal="center"/>
    </xf>
    <xf numFmtId="0" fontId="3" fillId="2" borderId="5" xfId="0" applyFont="1" applyFill="1" applyBorder="1" applyAlignment="1">
      <alignment horizontal="center"/>
    </xf>
    <xf numFmtId="0" fontId="0" fillId="2" borderId="4" xfId="0" applyFont="1" applyFill="1" applyBorder="1" applyAlignment="1">
      <alignment vertical="center" wrapText="1"/>
    </xf>
    <xf numFmtId="0" fontId="0" fillId="2" borderId="14" xfId="0" applyFill="1" applyBorder="1" applyAlignment="1">
      <alignment vertical="center" wrapText="1"/>
    </xf>
    <xf numFmtId="0" fontId="0" fillId="2" borderId="5" xfId="0" applyFill="1" applyBorder="1" applyAlignment="1">
      <alignment horizontal="center" vertical="center" wrapText="1"/>
    </xf>
    <xf numFmtId="0" fontId="1" fillId="22" borderId="1" xfId="0" applyFont="1" applyFill="1" applyBorder="1" applyAlignment="1" applyProtection="1">
      <alignment vertical="center"/>
    </xf>
    <xf numFmtId="0" fontId="0" fillId="22" borderId="1" xfId="0" applyFill="1" applyBorder="1" applyAlignment="1">
      <alignment vertical="center"/>
    </xf>
    <xf numFmtId="0" fontId="0" fillId="2" borderId="4" xfId="0" applyFont="1" applyFill="1" applyBorder="1" applyAlignment="1">
      <alignment vertical="center"/>
    </xf>
    <xf numFmtId="0" fontId="0" fillId="2" borderId="14" xfId="0" applyFill="1" applyBorder="1" applyAlignment="1">
      <alignment vertical="center"/>
    </xf>
    <xf numFmtId="0" fontId="0" fillId="2" borderId="14" xfId="0" applyFont="1" applyFill="1" applyBorder="1" applyAlignment="1">
      <alignment vertical="center" wrapText="1"/>
    </xf>
    <xf numFmtId="0" fontId="0" fillId="2" borderId="4" xfId="0" applyFont="1" applyFill="1" applyBorder="1" applyAlignment="1">
      <alignment horizontal="left" vertical="center" wrapText="1" indent="2"/>
    </xf>
    <xf numFmtId="0" fontId="0" fillId="2" borderId="14" xfId="0" applyFill="1" applyBorder="1" applyAlignment="1">
      <alignment horizontal="left" vertical="center" wrapText="1" indent="2"/>
    </xf>
    <xf numFmtId="0" fontId="0" fillId="2" borderId="4" xfId="0" applyFont="1" applyFill="1" applyBorder="1" applyAlignment="1">
      <alignment horizontal="left" vertical="center" indent="2"/>
    </xf>
    <xf numFmtId="0" fontId="0" fillId="2" borderId="14" xfId="0" applyFill="1" applyBorder="1" applyAlignment="1">
      <alignment horizontal="left" vertical="center" indent="2"/>
    </xf>
    <xf numFmtId="0" fontId="2" fillId="2" borderId="3" xfId="5" applyFont="1" applyFill="1" applyBorder="1" applyAlignment="1" applyProtection="1">
      <alignment horizontal="center" vertical="center" wrapText="1"/>
    </xf>
    <xf numFmtId="0" fontId="2" fillId="2" borderId="11" xfId="5" applyFont="1" applyFill="1" applyBorder="1" applyAlignment="1" applyProtection="1">
      <alignment horizontal="center" vertical="center" wrapText="1"/>
    </xf>
    <xf numFmtId="0" fontId="33" fillId="2" borderId="11" xfId="0" applyFont="1" applyFill="1" applyBorder="1" applyAlignment="1">
      <alignment vertical="center"/>
    </xf>
    <xf numFmtId="0" fontId="33"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3" fillId="2" borderId="1" xfId="5"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0" fillId="2" borderId="3" xfId="0" applyFont="1" applyFill="1" applyBorder="1" applyAlignment="1" applyProtection="1">
      <alignment horizontal="left" vertical="center" wrapText="1" indent="2"/>
    </xf>
    <xf numFmtId="0" fontId="0" fillId="2" borderId="11" xfId="0" applyFont="1" applyFill="1" applyBorder="1" applyAlignment="1" applyProtection="1">
      <alignment horizontal="left" vertical="center" wrapText="1" indent="2"/>
    </xf>
    <xf numFmtId="0" fontId="0" fillId="2" borderId="5" xfId="0" applyFont="1" applyFill="1" applyBorder="1" applyAlignment="1" applyProtection="1">
      <alignment horizontal="left" vertical="center" wrapText="1" indent="2"/>
    </xf>
  </cellXfs>
  <cellStyles count="90">
    <cellStyle name="=C:\WINNT35\SYSTEM32\COMMAND.COM" xfId="89"/>
    <cellStyle name="Bad" xfId="62" builtinId="27" hidden="1"/>
    <cellStyle name="Bad" xfId="75" builtinId="27" hidden="1"/>
    <cellStyle name="Calculation" xfId="66" builtinId="22" hidden="1"/>
    <cellStyle name="Calculation" xfId="79" builtinId="22" hidden="1"/>
    <cellStyle name="Check Cell" xfId="68" builtinId="23" hidden="1"/>
    <cellStyle name="Check Cell" xfId="81" builtinId="23" hidden="1"/>
    <cellStyle name="checkExposure" xfId="1"/>
    <cellStyle name="checkLiq" xfId="2"/>
    <cellStyle name="Explanatory Text" xfId="69" builtinId="53" hidden="1"/>
    <cellStyle name="Explanatory Text" xfId="82" builtinId="53" hidden="1"/>
    <cellStyle name="Good" xfId="61" builtinId="26" hidden="1"/>
    <cellStyle name="Good" xfId="74" builtinId="26" hidden="1"/>
    <cellStyle name="greyed" xfId="3"/>
    <cellStyle name="Heading 1" xfId="4"/>
    <cellStyle name="Heading 1 2" xfId="86"/>
    <cellStyle name="Heading 2" xfId="5"/>
    <cellStyle name="Heading 2 2" xfId="87"/>
    <cellStyle name="Heading 3" xfId="59" builtinId="18" hidden="1"/>
    <cellStyle name="Heading 3" xfId="72" builtinId="18" hidden="1"/>
    <cellStyle name="Heading 4" xfId="60" builtinId="19" hidden="1"/>
    <cellStyle name="Heading 4" xfId="73" builtinId="19" hidden="1"/>
    <cellStyle name="HeadingTable" xfId="6"/>
    <cellStyle name="highlightExposure" xfId="7"/>
    <cellStyle name="highlightPD" xfId="8"/>
    <cellStyle name="highlightPercentage" xfId="9"/>
    <cellStyle name="highlightText" xfId="10"/>
    <cellStyle name="Input" xfId="64" builtinId="20" hidden="1"/>
    <cellStyle name="Input" xfId="77" builtinId="20" hidden="1"/>
    <cellStyle name="inputDate" xfId="11"/>
    <cellStyle name="inputExposure" xfId="12"/>
    <cellStyle name="inputMaturity" xfId="13"/>
    <cellStyle name="inputParameterE" xfId="14"/>
    <cellStyle name="inputPD" xfId="15"/>
    <cellStyle name="inputPercentage" xfId="16"/>
    <cellStyle name="inputPercentageL" xfId="17"/>
    <cellStyle name="inputPercentageS" xfId="18"/>
    <cellStyle name="inputSelection" xfId="19"/>
    <cellStyle name="inputText" xfId="20"/>
    <cellStyle name="Linked Cell" xfId="67" builtinId="24" hidden="1"/>
    <cellStyle name="Linked Cell" xfId="80" builtinId="24" hidden="1"/>
    <cellStyle name="Neutral" xfId="63" builtinId="28" hidden="1"/>
    <cellStyle name="Neutral" xfId="76" builtinId="28" hidden="1"/>
    <cellStyle name="Normal" xfId="0" builtinId="0"/>
    <cellStyle name="Normal 2" xfId="85"/>
    <cellStyle name="Normal 3" xfId="88"/>
    <cellStyle name="optionalExposure" xfId="21"/>
    <cellStyle name="optionalMaturity" xfId="22"/>
    <cellStyle name="optionalPD" xfId="23"/>
    <cellStyle name="optionalPercentage" xfId="24"/>
    <cellStyle name="optionalPercentageL" xfId="25"/>
    <cellStyle name="optionalPercentageS" xfId="26"/>
    <cellStyle name="optionalSelection" xfId="27"/>
    <cellStyle name="optionalText" xfId="28"/>
    <cellStyle name="Output" xfId="65" builtinId="21" hidden="1"/>
    <cellStyle name="Output" xfId="78" builtinId="21" hidden="1"/>
    <cellStyle name="Percent" xfId="84" builtinId="5"/>
    <cellStyle name="reviseExposure" xfId="29"/>
    <cellStyle name="showCheck" xfId="30"/>
    <cellStyle name="showExposure" xfId="31"/>
    <cellStyle name="showParameterE" xfId="32"/>
    <cellStyle name="showParameterS" xfId="33"/>
    <cellStyle name="showPD" xfId="34"/>
    <cellStyle name="showPercentage" xfId="35"/>
    <cellStyle name="showSelection" xfId="36"/>
    <cellStyle name="sup2Date" xfId="37"/>
    <cellStyle name="sup2Int" xfId="38"/>
    <cellStyle name="sup2ParameterE" xfId="39"/>
    <cellStyle name="sup2Percentage" xfId="40"/>
    <cellStyle name="sup2PercentageL" xfId="41"/>
    <cellStyle name="sup2PercentageM" xfId="42"/>
    <cellStyle name="sup2Selection" xfId="43"/>
    <cellStyle name="sup2Text" xfId="44"/>
    <cellStyle name="sup3ParameterE" xfId="45"/>
    <cellStyle name="sup3Percentage" xfId="46"/>
    <cellStyle name="supDate" xfId="47"/>
    <cellStyle name="supFloat" xfId="48"/>
    <cellStyle name="supInt" xfId="49"/>
    <cellStyle name="supParameterE" xfId="50"/>
    <cellStyle name="supParameterS" xfId="51"/>
    <cellStyle name="supPD" xfId="52"/>
    <cellStyle name="supPercentage" xfId="53"/>
    <cellStyle name="supPercentageL" xfId="54"/>
    <cellStyle name="supPercentageM" xfId="55"/>
    <cellStyle name="supSelection" xfId="56"/>
    <cellStyle name="supText" xfId="57"/>
    <cellStyle name="Title" xfId="58" builtinId="15" hidden="1"/>
    <cellStyle name="Title" xfId="71" builtinId="15" hidden="1"/>
    <cellStyle name="Total" xfId="70" builtinId="25" hidden="1"/>
    <cellStyle name="Total" xfId="83" builtinId="25" hidden="1"/>
  </cellStyles>
  <dxfs count="246">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patternType="solid">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ndense val="0"/>
        <extend val="0"/>
        <color indexed="10"/>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0</xdr:col>
      <xdr:colOff>104775</xdr:colOff>
      <xdr:row>83</xdr:row>
      <xdr:rowOff>9525</xdr:rowOff>
    </xdr:to>
    <xdr:sp macro="" textlink="">
      <xdr:nvSpPr>
        <xdr:cNvPr id="73712"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3"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4"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5"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6"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7"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8"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19"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0"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1"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2"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3"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4"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5"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6"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xdr:row>
      <xdr:rowOff>0</xdr:rowOff>
    </xdr:from>
    <xdr:to>
      <xdr:col>0</xdr:col>
      <xdr:colOff>104775</xdr:colOff>
      <xdr:row>83</xdr:row>
      <xdr:rowOff>9525</xdr:rowOff>
    </xdr:to>
    <xdr:sp macro="" textlink="">
      <xdr:nvSpPr>
        <xdr:cNvPr id="73727"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71</xdr:row>
      <xdr:rowOff>0</xdr:rowOff>
    </xdr:from>
    <xdr:to>
      <xdr:col>0</xdr:col>
      <xdr:colOff>104775</xdr:colOff>
      <xdr:row>72</xdr:row>
      <xdr:rowOff>9525</xdr:rowOff>
    </xdr:to>
    <xdr:sp macro="" textlink="">
      <xdr:nvSpPr>
        <xdr:cNvPr id="74736" name="Text Box 3261"/>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37" name="Text Box 3262"/>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38" name="Text Box 3263"/>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39" name="Text Box 3264"/>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0" name="Text Box 3265"/>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1" name="Text Box 3266"/>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2" name="Text Box 3267"/>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3" name="Text Box 3268"/>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4" name="Text Box 3261"/>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5" name="Text Box 3262"/>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6" name="Text Box 3263"/>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7" name="Text Box 3264"/>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8" name="Text Box 3265"/>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49" name="Text Box 3266"/>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50" name="Text Box 3267"/>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71</xdr:row>
      <xdr:rowOff>0</xdr:rowOff>
    </xdr:from>
    <xdr:to>
      <xdr:col>0</xdr:col>
      <xdr:colOff>104775</xdr:colOff>
      <xdr:row>72</xdr:row>
      <xdr:rowOff>9525</xdr:rowOff>
    </xdr:to>
    <xdr:sp macro="" textlink="">
      <xdr:nvSpPr>
        <xdr:cNvPr id="74751" name="Text Box 3268"/>
        <xdr:cNvSpPr txBox="1">
          <a:spLocks noChangeArrowheads="1"/>
        </xdr:cNvSpPr>
      </xdr:nvSpPr>
      <xdr:spPr bwMode="auto">
        <a:xfrm>
          <a:off x="0" y="161925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3"/>
  </sheetPr>
  <dimension ref="A1:L252"/>
  <sheetViews>
    <sheetView tabSelected="1" zoomScale="75" zoomScaleNormal="75" workbookViewId="0"/>
  </sheetViews>
  <sheetFormatPr defaultColWidth="8.85546875" defaultRowHeight="15" customHeight="1" x14ac:dyDescent="0.2"/>
  <cols>
    <col min="1" max="1" width="1.7109375" style="28" customWidth="1"/>
    <col min="2" max="2" width="100.7109375" style="28" customWidth="1"/>
    <col min="3" max="3" width="16.7109375" style="28" customWidth="1"/>
    <col min="4" max="10" width="16.7109375" customWidth="1"/>
    <col min="11" max="11" width="1.7109375" customWidth="1"/>
    <col min="12" max="12" width="8.85546875" customWidth="1"/>
  </cols>
  <sheetData>
    <row r="1" spans="1:12" ht="30" customHeight="1" x14ac:dyDescent="0.4">
      <c r="A1" s="62" t="s">
        <v>81</v>
      </c>
      <c r="B1" s="63"/>
      <c r="C1" s="68" t="str">
        <f>CONCATENATE("v",Parameters!C4,".",Parameters!D4,".",Parameters!E4)</f>
        <v>v2.6.S3</v>
      </c>
      <c r="D1" s="49"/>
      <c r="E1" s="49"/>
      <c r="F1" s="49"/>
      <c r="G1" s="49"/>
      <c r="H1" s="49"/>
      <c r="I1" s="49"/>
      <c r="J1" s="49"/>
      <c r="K1" s="59"/>
    </row>
    <row r="2" spans="1:12" ht="30" customHeight="1" x14ac:dyDescent="0.25">
      <c r="A2" s="47" t="s">
        <v>639</v>
      </c>
      <c r="B2" s="40"/>
      <c r="C2" s="41"/>
      <c r="D2" s="49"/>
      <c r="E2" s="49"/>
      <c r="F2" s="49"/>
      <c r="G2" s="49"/>
      <c r="H2" s="49"/>
      <c r="I2" s="49"/>
      <c r="J2" s="49"/>
      <c r="K2" s="59"/>
    </row>
    <row r="3" spans="1:12" ht="30" customHeight="1" x14ac:dyDescent="0.25">
      <c r="A3" s="44" t="s">
        <v>579</v>
      </c>
      <c r="B3" s="33"/>
      <c r="C3" s="34"/>
      <c r="D3" s="61"/>
      <c r="E3" s="61"/>
      <c r="F3" s="61"/>
      <c r="G3" s="61"/>
      <c r="H3" s="61"/>
      <c r="I3" s="61"/>
      <c r="J3" s="61"/>
      <c r="K3" s="69"/>
    </row>
    <row r="4" spans="1:12" s="22" customFormat="1" ht="15" customHeight="1" x14ac:dyDescent="0.2">
      <c r="A4" s="123"/>
      <c r="B4" s="124"/>
      <c r="C4" s="23"/>
      <c r="D4" s="25"/>
      <c r="E4" s="25"/>
      <c r="F4" s="25"/>
      <c r="G4" s="25"/>
      <c r="H4" s="25"/>
      <c r="I4" s="25"/>
      <c r="J4" s="25"/>
      <c r="K4" s="24"/>
    </row>
    <row r="5" spans="1:12" s="22" customFormat="1" ht="15" customHeight="1" x14ac:dyDescent="0.2">
      <c r="A5" s="125"/>
      <c r="B5" s="117" t="s">
        <v>201</v>
      </c>
      <c r="C5" s="503"/>
      <c r="D5" s="25"/>
      <c r="E5" s="801" t="s">
        <v>1120</v>
      </c>
      <c r="F5" s="801"/>
      <c r="G5" s="801"/>
      <c r="H5" s="801"/>
      <c r="I5" s="801"/>
      <c r="J5" s="25"/>
      <c r="K5" s="24"/>
    </row>
    <row r="6" spans="1:12" s="22" customFormat="1" ht="15" customHeight="1" x14ac:dyDescent="0.2">
      <c r="A6" s="125"/>
      <c r="B6" s="117" t="s">
        <v>199</v>
      </c>
      <c r="C6" s="504"/>
      <c r="D6" s="25"/>
      <c r="E6" s="801"/>
      <c r="F6" s="801"/>
      <c r="G6" s="801"/>
      <c r="H6" s="801"/>
      <c r="I6" s="801"/>
      <c r="J6" s="25"/>
      <c r="K6" s="24"/>
    </row>
    <row r="7" spans="1:12" s="22" customFormat="1" ht="15" customHeight="1" x14ac:dyDescent="0.2">
      <c r="A7" s="125"/>
      <c r="B7" s="117" t="s">
        <v>202</v>
      </c>
      <c r="C7" s="504"/>
      <c r="D7" s="25"/>
      <c r="E7" s="801"/>
      <c r="F7" s="801"/>
      <c r="G7" s="801"/>
      <c r="H7" s="801"/>
      <c r="I7" s="801"/>
      <c r="J7" s="25"/>
      <c r="K7" s="24"/>
    </row>
    <row r="8" spans="1:12" s="22" customFormat="1" ht="15" customHeight="1" x14ac:dyDescent="0.2">
      <c r="A8" s="125"/>
      <c r="B8" s="117" t="s">
        <v>640</v>
      </c>
      <c r="C8" s="418" t="s">
        <v>196</v>
      </c>
      <c r="D8" s="25"/>
      <c r="E8" s="801"/>
      <c r="F8" s="801"/>
      <c r="G8" s="801"/>
      <c r="H8" s="801"/>
      <c r="I8" s="801"/>
      <c r="J8" s="25"/>
      <c r="K8" s="24"/>
    </row>
    <row r="9" spans="1:12" s="22" customFormat="1" ht="15" customHeight="1" x14ac:dyDescent="0.2">
      <c r="A9" s="125"/>
      <c r="B9" s="117" t="s">
        <v>625</v>
      </c>
      <c r="C9" s="418" t="s">
        <v>196</v>
      </c>
      <c r="D9" s="25"/>
      <c r="E9" s="801"/>
      <c r="F9" s="801"/>
      <c r="G9" s="801"/>
      <c r="H9" s="801"/>
      <c r="I9" s="801"/>
      <c r="J9" s="25"/>
      <c r="K9" s="24"/>
    </row>
    <row r="10" spans="1:12" s="22" customFormat="1" ht="15" customHeight="1" x14ac:dyDescent="0.2">
      <c r="A10" s="125"/>
      <c r="B10" s="117" t="s">
        <v>630</v>
      </c>
      <c r="C10" s="418" t="s">
        <v>196</v>
      </c>
      <c r="D10" s="25"/>
      <c r="E10" s="801"/>
      <c r="F10" s="801"/>
      <c r="G10" s="801"/>
      <c r="H10" s="801"/>
      <c r="I10" s="801"/>
      <c r="J10" s="25"/>
      <c r="K10" s="24"/>
    </row>
    <row r="11" spans="1:12" s="22" customFormat="1" ht="15" customHeight="1" x14ac:dyDescent="0.2">
      <c r="A11" s="125"/>
      <c r="B11" s="117" t="s">
        <v>631</v>
      </c>
      <c r="C11" s="418" t="s">
        <v>196</v>
      </c>
      <c r="D11" s="25"/>
      <c r="E11" s="801"/>
      <c r="F11" s="801"/>
      <c r="G11" s="801"/>
      <c r="H11" s="801"/>
      <c r="I11" s="801"/>
      <c r="J11" s="25"/>
      <c r="K11" s="24"/>
    </row>
    <row r="12" spans="1:12" s="22" customFormat="1" ht="30" customHeight="1" x14ac:dyDescent="0.2">
      <c r="A12" s="125"/>
      <c r="B12" s="117" t="s">
        <v>193</v>
      </c>
      <c r="C12" s="418" t="s">
        <v>746</v>
      </c>
      <c r="D12" s="25"/>
      <c r="E12" s="801"/>
      <c r="F12" s="801"/>
      <c r="G12" s="801"/>
      <c r="H12" s="801"/>
      <c r="I12" s="801"/>
      <c r="J12" s="25"/>
      <c r="K12" s="24"/>
    </row>
    <row r="13" spans="1:12" s="22" customFormat="1" ht="15" customHeight="1" x14ac:dyDescent="0.2">
      <c r="A13" s="125"/>
      <c r="B13" s="117" t="s">
        <v>568</v>
      </c>
      <c r="C13" s="418"/>
      <c r="D13" s="25"/>
      <c r="E13" s="801"/>
      <c r="F13" s="801"/>
      <c r="G13" s="801"/>
      <c r="H13" s="801"/>
      <c r="I13" s="801"/>
      <c r="J13" s="25"/>
      <c r="K13" s="24"/>
    </row>
    <row r="14" spans="1:12" s="22" customFormat="1" ht="15" customHeight="1" x14ac:dyDescent="0.2">
      <c r="A14" s="125"/>
      <c r="B14" s="117" t="s">
        <v>100</v>
      </c>
      <c r="C14" s="416"/>
      <c r="D14" s="25"/>
      <c r="E14" s="801"/>
      <c r="F14" s="801"/>
      <c r="G14" s="801"/>
      <c r="H14" s="801"/>
      <c r="I14" s="801"/>
      <c r="J14" s="25"/>
      <c r="K14" s="24"/>
    </row>
    <row r="15" spans="1:12" s="22" customFormat="1" ht="15" customHeight="1" x14ac:dyDescent="0.2">
      <c r="A15" s="125"/>
      <c r="B15" s="101" t="s">
        <v>1020</v>
      </c>
      <c r="C15" s="482">
        <v>0</v>
      </c>
      <c r="D15" s="25"/>
      <c r="E15" s="801"/>
      <c r="F15" s="801"/>
      <c r="G15" s="801"/>
      <c r="H15" s="801"/>
      <c r="I15" s="801"/>
      <c r="J15" s="25"/>
      <c r="K15" s="24"/>
      <c r="L15" s="710"/>
    </row>
    <row r="16" spans="1:12" s="22" customFormat="1" ht="15" customHeight="1" x14ac:dyDescent="0.2">
      <c r="A16" s="125"/>
      <c r="B16" s="101" t="s">
        <v>1119</v>
      </c>
      <c r="C16" s="482"/>
      <c r="D16" s="25"/>
      <c r="E16" s="801"/>
      <c r="F16" s="801"/>
      <c r="G16" s="801"/>
      <c r="H16" s="801"/>
      <c r="I16" s="801"/>
      <c r="J16" s="25"/>
      <c r="K16" s="24"/>
      <c r="L16" s="710"/>
    </row>
    <row r="17" spans="1:12" s="22" customFormat="1" ht="15" customHeight="1" x14ac:dyDescent="0.2">
      <c r="A17" s="125"/>
      <c r="B17" s="101" t="s">
        <v>1118</v>
      </c>
      <c r="C17" s="482"/>
      <c r="D17" s="25"/>
      <c r="E17" s="801"/>
      <c r="F17" s="801"/>
      <c r="G17" s="801"/>
      <c r="H17" s="801"/>
      <c r="I17" s="801"/>
      <c r="J17" s="25"/>
      <c r="K17" s="24"/>
      <c r="L17" s="710"/>
    </row>
    <row r="18" spans="1:12" s="22" customFormat="1" ht="15" customHeight="1" x14ac:dyDescent="0.2">
      <c r="A18" s="125"/>
      <c r="B18" s="101" t="s">
        <v>1117</v>
      </c>
      <c r="C18" s="482"/>
      <c r="D18" s="25"/>
      <c r="E18" s="801"/>
      <c r="F18" s="801"/>
      <c r="G18" s="801"/>
      <c r="H18" s="801"/>
      <c r="I18" s="801"/>
      <c r="J18" s="25"/>
      <c r="K18" s="24"/>
      <c r="L18" s="710"/>
    </row>
    <row r="19" spans="1:12" s="22" customFormat="1" ht="15" customHeight="1" x14ac:dyDescent="0.2">
      <c r="A19" s="125"/>
      <c r="B19" s="104" t="s">
        <v>142</v>
      </c>
      <c r="C19" s="417">
        <v>1</v>
      </c>
      <c r="D19" s="25"/>
      <c r="E19" s="801"/>
      <c r="F19" s="801"/>
      <c r="G19" s="801"/>
      <c r="H19" s="801"/>
      <c r="I19" s="801"/>
      <c r="J19" s="25"/>
      <c r="K19" s="24"/>
    </row>
    <row r="20" spans="1:12" s="22" customFormat="1" ht="15" customHeight="1" x14ac:dyDescent="0.2">
      <c r="A20" s="125"/>
      <c r="B20" s="104" t="s">
        <v>369</v>
      </c>
      <c r="C20" s="419"/>
      <c r="D20" s="25"/>
      <c r="E20" s="801"/>
      <c r="F20" s="801"/>
      <c r="G20" s="801"/>
      <c r="H20" s="801"/>
      <c r="I20" s="801"/>
      <c r="J20" s="25"/>
      <c r="K20" s="24"/>
    </row>
    <row r="21" spans="1:12" s="22" customFormat="1" ht="15" customHeight="1" x14ac:dyDescent="0.2">
      <c r="A21" s="125"/>
      <c r="B21" s="104" t="s">
        <v>222</v>
      </c>
      <c r="C21" s="418" t="s">
        <v>195</v>
      </c>
      <c r="D21" s="25"/>
      <c r="E21" s="801"/>
      <c r="F21" s="801"/>
      <c r="G21" s="801"/>
      <c r="H21" s="801"/>
      <c r="I21" s="801"/>
      <c r="J21" s="25"/>
      <c r="K21" s="24"/>
    </row>
    <row r="22" spans="1:12" s="22" customFormat="1" ht="15" customHeight="1" x14ac:dyDescent="0.2">
      <c r="A22" s="125"/>
      <c r="B22" s="115" t="s">
        <v>342</v>
      </c>
      <c r="C22" s="418" t="s">
        <v>195</v>
      </c>
      <c r="D22" s="25"/>
      <c r="E22" s="801"/>
      <c r="F22" s="801"/>
      <c r="G22" s="801"/>
      <c r="H22" s="801"/>
      <c r="I22" s="801"/>
      <c r="J22" s="25"/>
      <c r="K22" s="24"/>
    </row>
    <row r="23" spans="1:12" s="22" customFormat="1" ht="15" customHeight="1" x14ac:dyDescent="0.2">
      <c r="A23" s="125"/>
      <c r="B23" s="104" t="s">
        <v>223</v>
      </c>
      <c r="C23" s="418" t="s">
        <v>195</v>
      </c>
      <c r="D23" s="25"/>
      <c r="E23" s="801"/>
      <c r="F23" s="801"/>
      <c r="G23" s="801"/>
      <c r="H23" s="801"/>
      <c r="I23" s="801"/>
      <c r="J23" s="25"/>
      <c r="K23" s="24"/>
    </row>
    <row r="24" spans="1:12" s="22" customFormat="1" ht="15" customHeight="1" x14ac:dyDescent="0.2">
      <c r="A24" s="125"/>
      <c r="B24" s="115" t="s">
        <v>342</v>
      </c>
      <c r="C24" s="418" t="s">
        <v>195</v>
      </c>
      <c r="D24" s="25"/>
      <c r="E24" s="801"/>
      <c r="F24" s="801"/>
      <c r="G24" s="801"/>
      <c r="H24" s="801"/>
      <c r="I24" s="801"/>
      <c r="J24" s="25"/>
      <c r="K24" s="24"/>
    </row>
    <row r="25" spans="1:12" s="22" customFormat="1" ht="15" customHeight="1" x14ac:dyDescent="0.2">
      <c r="A25" s="125"/>
      <c r="B25" s="104" t="s">
        <v>224</v>
      </c>
      <c r="C25" s="418" t="s">
        <v>195</v>
      </c>
      <c r="D25" s="25"/>
      <c r="E25" s="801"/>
      <c r="F25" s="801"/>
      <c r="G25" s="801"/>
      <c r="H25" s="801"/>
      <c r="I25" s="801"/>
      <c r="J25" s="25"/>
      <c r="K25" s="24"/>
    </row>
    <row r="26" spans="1:12" s="22" customFormat="1" ht="15" customHeight="1" x14ac:dyDescent="0.2">
      <c r="A26" s="125"/>
      <c r="B26" s="115" t="s">
        <v>342</v>
      </c>
      <c r="C26" s="418" t="s">
        <v>195</v>
      </c>
      <c r="D26" s="25"/>
      <c r="E26" s="801"/>
      <c r="F26" s="801"/>
      <c r="G26" s="801"/>
      <c r="H26" s="801"/>
      <c r="I26" s="801"/>
      <c r="J26" s="25"/>
      <c r="K26" s="24"/>
    </row>
    <row r="27" spans="1:12" s="22" customFormat="1" ht="15" customHeight="1" x14ac:dyDescent="0.2">
      <c r="A27" s="125"/>
      <c r="B27" s="104" t="s">
        <v>191</v>
      </c>
      <c r="C27" s="126"/>
      <c r="D27" s="25"/>
      <c r="E27" s="801"/>
      <c r="F27" s="801"/>
      <c r="G27" s="801"/>
      <c r="H27" s="801"/>
      <c r="I27" s="801"/>
      <c r="J27" s="25"/>
      <c r="K27" s="24"/>
    </row>
    <row r="28" spans="1:12" s="22" customFormat="1" ht="15" customHeight="1" x14ac:dyDescent="0.2">
      <c r="A28" s="125"/>
      <c r="B28" s="104" t="s">
        <v>633</v>
      </c>
      <c r="C28" s="127"/>
      <c r="D28" s="25"/>
      <c r="E28" s="801"/>
      <c r="F28" s="801"/>
      <c r="G28" s="801"/>
      <c r="H28" s="801"/>
      <c r="I28" s="801"/>
      <c r="J28" s="25"/>
      <c r="K28" s="24"/>
    </row>
    <row r="29" spans="1:12" s="22" customFormat="1" ht="15" customHeight="1" x14ac:dyDescent="0.2">
      <c r="A29" s="125"/>
      <c r="B29" s="104" t="s">
        <v>569</v>
      </c>
      <c r="C29" s="128">
        <v>1</v>
      </c>
      <c r="D29" s="25"/>
      <c r="E29" s="801"/>
      <c r="F29" s="801"/>
      <c r="G29" s="801"/>
      <c r="H29" s="801"/>
      <c r="I29" s="801"/>
      <c r="J29" s="25"/>
      <c r="K29" s="24"/>
    </row>
    <row r="30" spans="1:12" s="22" customFormat="1" ht="15" customHeight="1" x14ac:dyDescent="0.2">
      <c r="A30" s="125"/>
      <c r="B30" s="129" t="s">
        <v>212</v>
      </c>
      <c r="C30" s="130"/>
      <c r="D30" s="25"/>
      <c r="E30" s="801"/>
      <c r="F30" s="801"/>
      <c r="G30" s="801"/>
      <c r="H30" s="801"/>
      <c r="I30" s="801"/>
      <c r="J30" s="25"/>
      <c r="K30" s="24"/>
    </row>
    <row r="31" spans="1:12" ht="45" customHeight="1" x14ac:dyDescent="0.25">
      <c r="A31" s="44" t="s">
        <v>580</v>
      </c>
      <c r="B31" s="33"/>
      <c r="C31" s="34"/>
      <c r="D31" s="50"/>
      <c r="E31" s="50"/>
      <c r="F31" s="50"/>
      <c r="G31" s="50"/>
      <c r="H31" s="50"/>
      <c r="I31" s="50"/>
      <c r="J31" s="50"/>
      <c r="K31" s="54"/>
    </row>
    <row r="32" spans="1:12" s="22" customFormat="1" ht="15" customHeight="1" x14ac:dyDescent="0.2">
      <c r="A32" s="123"/>
      <c r="B32" s="124"/>
      <c r="C32" s="23"/>
      <c r="D32" s="25"/>
      <c r="E32" s="802" t="s">
        <v>1121</v>
      </c>
      <c r="F32" s="802"/>
      <c r="G32" s="802"/>
      <c r="H32" s="802"/>
      <c r="I32" s="802"/>
      <c r="J32" s="25"/>
      <c r="K32" s="24"/>
    </row>
    <row r="33" spans="1:11" s="22" customFormat="1" ht="15" customHeight="1" x14ac:dyDescent="0.2">
      <c r="A33" s="123"/>
      <c r="B33" s="104" t="s">
        <v>197</v>
      </c>
      <c r="C33" s="130" t="s">
        <v>196</v>
      </c>
      <c r="D33" s="25"/>
      <c r="E33" s="802"/>
      <c r="F33" s="802"/>
      <c r="G33" s="802"/>
      <c r="H33" s="802"/>
      <c r="I33" s="802"/>
      <c r="J33" s="25"/>
      <c r="K33" s="24"/>
    </row>
    <row r="34" spans="1:11" s="22" customFormat="1" ht="15" customHeight="1" x14ac:dyDescent="0.2">
      <c r="A34" s="123"/>
      <c r="B34" s="104" t="s">
        <v>667</v>
      </c>
      <c r="C34" s="130" t="s">
        <v>196</v>
      </c>
      <c r="D34" s="25"/>
      <c r="E34" s="802"/>
      <c r="F34" s="802"/>
      <c r="G34" s="802"/>
      <c r="H34" s="802"/>
      <c r="I34" s="802"/>
      <c r="J34" s="25"/>
      <c r="K34" s="24"/>
    </row>
    <row r="35" spans="1:11" s="22" customFormat="1" ht="15" customHeight="1" x14ac:dyDescent="0.2">
      <c r="A35" s="125"/>
      <c r="B35" s="104" t="s">
        <v>670</v>
      </c>
      <c r="C35" s="130" t="s">
        <v>196</v>
      </c>
      <c r="D35" s="25"/>
      <c r="E35" s="802"/>
      <c r="F35" s="802"/>
      <c r="G35" s="802"/>
      <c r="H35" s="802"/>
      <c r="I35" s="802"/>
      <c r="J35" s="25"/>
      <c r="K35" s="24"/>
    </row>
    <row r="36" spans="1:11" s="22" customFormat="1" ht="15" customHeight="1" x14ac:dyDescent="0.2">
      <c r="A36" s="125"/>
      <c r="B36" s="104" t="s">
        <v>671</v>
      </c>
      <c r="C36" s="130" t="s">
        <v>196</v>
      </c>
      <c r="D36" s="25"/>
      <c r="E36" s="802"/>
      <c r="F36" s="802"/>
      <c r="G36" s="802"/>
      <c r="H36" s="802"/>
      <c r="I36" s="802"/>
      <c r="J36" s="25"/>
      <c r="K36" s="24"/>
    </row>
    <row r="37" spans="1:11" s="22" customFormat="1" ht="15" customHeight="1" x14ac:dyDescent="0.2">
      <c r="A37" s="131"/>
      <c r="B37" s="23"/>
      <c r="C37" s="23"/>
      <c r="D37" s="132"/>
      <c r="E37" s="132"/>
      <c r="F37" s="132"/>
      <c r="G37" s="132"/>
      <c r="H37" s="132"/>
      <c r="I37" s="132"/>
      <c r="J37" s="132"/>
      <c r="K37" s="199"/>
    </row>
    <row r="38" spans="1:11" ht="30" customHeight="1" x14ac:dyDescent="0.25">
      <c r="A38" s="47" t="s">
        <v>784</v>
      </c>
      <c r="B38" s="40"/>
      <c r="C38" s="41"/>
      <c r="D38" s="49"/>
      <c r="E38" s="49"/>
      <c r="F38" s="49"/>
      <c r="G38" s="49"/>
      <c r="H38" s="49"/>
      <c r="I38" s="49"/>
      <c r="J38" s="49"/>
      <c r="K38" s="59"/>
    </row>
    <row r="39" spans="1:11" s="794" customFormat="1" ht="30" customHeight="1" x14ac:dyDescent="0.2">
      <c r="A39" s="31"/>
      <c r="B39" s="790" t="str">
        <f>CONCATENATE("Data in cells C ", ROW(C43), " to C", ROW(C56), " must be in line with regulatory reporting.")</f>
        <v>Data in cells C 43 to C56 must be in line with regulatory reporting.</v>
      </c>
      <c r="C39" s="791"/>
      <c r="D39" s="792"/>
      <c r="E39" s="792"/>
      <c r="F39" s="792"/>
      <c r="G39" s="792"/>
      <c r="H39" s="792"/>
      <c r="I39" s="792"/>
      <c r="J39" s="792"/>
      <c r="K39" s="793"/>
    </row>
    <row r="40" spans="1:11" s="22" customFormat="1" ht="15" customHeight="1" x14ac:dyDescent="0.2">
      <c r="A40" s="125"/>
      <c r="B40" s="23"/>
      <c r="C40" s="23"/>
      <c r="D40" s="23"/>
      <c r="E40" s="25"/>
      <c r="F40" s="25"/>
      <c r="G40" s="25"/>
      <c r="H40" s="25"/>
      <c r="I40" s="25"/>
      <c r="J40" s="25"/>
      <c r="K40" s="24"/>
    </row>
    <row r="41" spans="1:11" s="22" customFormat="1" ht="60" customHeight="1" x14ac:dyDescent="0.2">
      <c r="A41" s="125"/>
      <c r="B41" s="23"/>
      <c r="C41" s="149" t="s">
        <v>785</v>
      </c>
      <c r="D41" s="149" t="s">
        <v>786</v>
      </c>
      <c r="E41" s="25"/>
      <c r="F41" s="25"/>
      <c r="G41" s="25"/>
      <c r="H41" s="25"/>
      <c r="I41" s="25"/>
      <c r="J41" s="25"/>
      <c r="K41" s="135"/>
    </row>
    <row r="42" spans="1:11" s="22" customFormat="1" ht="15" customHeight="1" x14ac:dyDescent="0.2">
      <c r="A42" s="123"/>
      <c r="B42" s="124"/>
      <c r="C42" s="134" t="s">
        <v>643</v>
      </c>
      <c r="D42" s="134" t="s">
        <v>643</v>
      </c>
      <c r="E42" s="25"/>
      <c r="F42" s="25"/>
      <c r="G42" s="25"/>
      <c r="H42" s="25"/>
      <c r="I42" s="25"/>
      <c r="J42" s="25"/>
      <c r="K42" s="135"/>
    </row>
    <row r="43" spans="1:11" s="22" customFormat="1" ht="15" customHeight="1" x14ac:dyDescent="0.2">
      <c r="A43" s="123"/>
      <c r="B43" s="373" t="s">
        <v>451</v>
      </c>
      <c r="C43" s="10" t="str">
        <f>IF(AND(ISNUMBER(C44),ISNUMBER(C47),ISNUMBER(C52),ISNUMBER(C56)),C44+C47+C52+C56,"")</f>
        <v/>
      </c>
      <c r="D43" s="10" t="str">
        <f>IF(AND(ISNUMBER(D44),ISNUMBER(D47),ISNUMBER(D52)),D44+D47+D52,"")</f>
        <v/>
      </c>
      <c r="E43" s="25"/>
      <c r="F43" s="25"/>
      <c r="G43" s="25"/>
      <c r="H43" s="25"/>
      <c r="I43" s="25"/>
      <c r="J43" s="25"/>
      <c r="K43" s="135"/>
    </row>
    <row r="44" spans="1:11" s="22" customFormat="1" ht="15" customHeight="1" x14ac:dyDescent="0.2">
      <c r="A44" s="123"/>
      <c r="B44" s="106" t="s">
        <v>125</v>
      </c>
      <c r="C44" s="10" t="str">
        <f>IF(AND(ISNUMBER(C45),ISNUMBER(C46)),C45-C46,"")</f>
        <v/>
      </c>
      <c r="D44" s="10" t="str">
        <f>IF(ISNUMBER(DefCapB3!D63),DefCapB3!D63,"")</f>
        <v/>
      </c>
      <c r="E44" s="25"/>
      <c r="F44" s="25"/>
      <c r="G44" s="25"/>
      <c r="H44" s="25"/>
      <c r="I44" s="25"/>
      <c r="J44" s="25"/>
      <c r="K44" s="135"/>
    </row>
    <row r="45" spans="1:11" s="22" customFormat="1" ht="15" customHeight="1" x14ac:dyDescent="0.2">
      <c r="A45" s="123"/>
      <c r="B45" s="140" t="s">
        <v>763</v>
      </c>
      <c r="C45" s="136"/>
      <c r="D45" s="10" t="str">
        <f>IF(ISNUMBER(DefCapB3!D42),DefCapB3!D42,"")</f>
        <v/>
      </c>
      <c r="E45" s="25"/>
      <c r="F45" s="25"/>
      <c r="G45" s="25"/>
      <c r="H45" s="25"/>
      <c r="I45" s="25"/>
      <c r="J45" s="25"/>
      <c r="K45" s="135"/>
    </row>
    <row r="46" spans="1:11" s="22" customFormat="1" ht="15" customHeight="1" x14ac:dyDescent="0.2">
      <c r="A46" s="123"/>
      <c r="B46" s="140" t="s">
        <v>389</v>
      </c>
      <c r="C46" s="136"/>
      <c r="D46" s="10" t="str">
        <f>IF(AND(ISNUMBER(D45),ISNUMBER(D44)),D45-D44,"")</f>
        <v/>
      </c>
      <c r="E46" s="25"/>
      <c r="F46" s="25"/>
      <c r="G46" s="25"/>
      <c r="H46" s="25"/>
      <c r="I46" s="25"/>
      <c r="J46" s="25"/>
      <c r="K46" s="135"/>
    </row>
    <row r="47" spans="1:11" s="22" customFormat="1" ht="15" customHeight="1" x14ac:dyDescent="0.2">
      <c r="A47" s="123"/>
      <c r="B47" s="106" t="s">
        <v>126</v>
      </c>
      <c r="C47" s="10" t="str">
        <f>IF(AND(ISNUMBER(C48),ISNUMBER(C49)),C48-C49,"")</f>
        <v/>
      </c>
      <c r="D47" s="10" t="str">
        <f>IF(AND(ISNUMBER(DefCapB3!D75),ISNUMBER(DefCapB3!D63)),DefCapB3!D75-DefCapB3!D63,"")</f>
        <v/>
      </c>
      <c r="E47" s="25"/>
      <c r="F47" s="25"/>
      <c r="G47" s="25"/>
      <c r="H47" s="25"/>
      <c r="I47" s="25"/>
      <c r="J47" s="25"/>
      <c r="K47" s="135"/>
    </row>
    <row r="48" spans="1:11" s="22" customFormat="1" ht="15" customHeight="1" x14ac:dyDescent="0.2">
      <c r="A48" s="123"/>
      <c r="B48" s="140" t="s">
        <v>763</v>
      </c>
      <c r="C48" s="136"/>
      <c r="D48" s="10" t="str">
        <f>IF(AND(ISNUMBER(DefCapB3!D68),ISNUMBER(DefCapB3!D69)),SUM(DefCapB3!D68:D69),"")</f>
        <v/>
      </c>
      <c r="E48" s="25"/>
      <c r="F48" s="25"/>
      <c r="G48" s="25"/>
      <c r="H48" s="25"/>
      <c r="I48" s="25"/>
      <c r="J48" s="25"/>
      <c r="K48" s="135"/>
    </row>
    <row r="49" spans="1:11" s="22" customFormat="1" ht="15" customHeight="1" x14ac:dyDescent="0.2">
      <c r="A49" s="123"/>
      <c r="B49" s="140" t="s">
        <v>389</v>
      </c>
      <c r="C49" s="136"/>
      <c r="D49" s="10" t="str">
        <f>IF(AND(ISNUMBER(D48),ISNUMBER(D47)),D48-D47,"")</f>
        <v/>
      </c>
      <c r="E49" s="25"/>
      <c r="F49" s="25"/>
      <c r="G49" s="25"/>
      <c r="H49" s="25"/>
      <c r="I49" s="25"/>
      <c r="J49" s="25"/>
      <c r="K49" s="135"/>
    </row>
    <row r="50" spans="1:11" s="22" customFormat="1" ht="15" customHeight="1" x14ac:dyDescent="0.2">
      <c r="A50" s="123"/>
      <c r="B50" s="471" t="s">
        <v>268</v>
      </c>
      <c r="C50" s="749" t="str">
        <f>IF(C48&gt;=C49,"Yes","No")</f>
        <v>Yes</v>
      </c>
      <c r="D50" s="492"/>
      <c r="E50" s="25"/>
      <c r="F50" s="25"/>
      <c r="G50" s="25"/>
      <c r="H50" s="25"/>
      <c r="I50" s="25"/>
      <c r="J50" s="25"/>
      <c r="K50" s="135"/>
    </row>
    <row r="51" spans="1:11" s="22" customFormat="1" ht="15" customHeight="1" x14ac:dyDescent="0.2">
      <c r="A51" s="123"/>
      <c r="B51" s="106" t="s">
        <v>129</v>
      </c>
      <c r="C51" s="10" t="str">
        <f>IF(AND(ISNUMBER(C44),ISNUMBER(C47)),C44+C47,"")</f>
        <v/>
      </c>
      <c r="D51" s="10" t="str">
        <f>IF(AND(ISNUMBER(D44),ISNUMBER(D47)),D44+D47,"")</f>
        <v/>
      </c>
      <c r="E51" s="25"/>
      <c r="F51" s="25"/>
      <c r="G51" s="25"/>
      <c r="H51" s="25"/>
      <c r="I51" s="25"/>
      <c r="J51" s="25"/>
      <c r="K51" s="135"/>
    </row>
    <row r="52" spans="1:11" s="22" customFormat="1" ht="15" customHeight="1" x14ac:dyDescent="0.2">
      <c r="A52" s="123"/>
      <c r="B52" s="106" t="s">
        <v>127</v>
      </c>
      <c r="C52" s="10" t="str">
        <f>IF(AND(ISNUMBER(C53),ISNUMBER(C54)),C53-C54,"")</f>
        <v/>
      </c>
      <c r="D52" s="10" t="str">
        <f>IF(AND(ISNUMBER(DefCapB3!D86),ISNUMBER(DefCapB3!D79)),DefCapB3!D86-DefCapB3!D79,"")</f>
        <v/>
      </c>
      <c r="E52" s="25"/>
      <c r="F52" s="25"/>
      <c r="G52" s="25"/>
      <c r="H52" s="25"/>
      <c r="I52" s="25"/>
      <c r="J52" s="25"/>
      <c r="K52" s="135"/>
    </row>
    <row r="53" spans="1:11" s="22" customFormat="1" ht="15" customHeight="1" x14ac:dyDescent="0.2">
      <c r="A53" s="123"/>
      <c r="B53" s="140" t="s">
        <v>388</v>
      </c>
      <c r="C53" s="136"/>
      <c r="D53" s="10" t="str">
        <f>IF(AND(ISNUMBER(DefCapB3!D80),ISNUMBER(DefCapB3!D81),ISNUMBER(DefCapB3!D82)),SUM(DefCapB3!D80:D82),"")</f>
        <v/>
      </c>
      <c r="E53" s="25"/>
      <c r="F53" s="25"/>
      <c r="G53" s="25"/>
      <c r="H53" s="25"/>
      <c r="I53" s="25"/>
      <c r="J53" s="25"/>
      <c r="K53" s="135"/>
    </row>
    <row r="54" spans="1:11" s="22" customFormat="1" ht="15" customHeight="1" x14ac:dyDescent="0.2">
      <c r="A54" s="123"/>
      <c r="B54" s="140" t="s">
        <v>389</v>
      </c>
      <c r="C54" s="136"/>
      <c r="D54" s="10" t="str">
        <f>IF(AND(ISNUMBER(D53),ISNUMBER(D52)),D53-D52,"")</f>
        <v/>
      </c>
      <c r="E54" s="25"/>
      <c r="F54" s="25"/>
      <c r="G54" s="25"/>
      <c r="H54" s="25"/>
      <c r="I54" s="25"/>
      <c r="J54" s="25"/>
      <c r="K54" s="135"/>
    </row>
    <row r="55" spans="1:11" s="22" customFormat="1" ht="15" customHeight="1" x14ac:dyDescent="0.2">
      <c r="A55" s="123"/>
      <c r="B55" s="471" t="s">
        <v>269</v>
      </c>
      <c r="C55" s="749" t="str">
        <f>IF(C53&gt;=C54,"Yes","No")</f>
        <v>Yes</v>
      </c>
      <c r="D55" s="518"/>
      <c r="E55" s="25"/>
      <c r="F55" s="25"/>
      <c r="G55" s="25"/>
      <c r="H55" s="25"/>
      <c r="I55" s="25"/>
      <c r="J55" s="25"/>
      <c r="K55" s="135"/>
    </row>
    <row r="56" spans="1:11" s="22" customFormat="1" ht="15" customHeight="1" x14ac:dyDescent="0.2">
      <c r="A56" s="123"/>
      <c r="B56" s="106" t="s">
        <v>128</v>
      </c>
      <c r="C56" s="136"/>
      <c r="D56" s="519"/>
      <c r="E56" s="25"/>
      <c r="F56" s="25"/>
      <c r="G56" s="25"/>
      <c r="H56" s="25"/>
      <c r="I56" s="25"/>
      <c r="J56" s="25"/>
      <c r="K56" s="135"/>
    </row>
    <row r="57" spans="1:11" s="22" customFormat="1" ht="15" customHeight="1" x14ac:dyDescent="0.2">
      <c r="A57" s="123"/>
      <c r="B57" s="13" t="s">
        <v>295</v>
      </c>
      <c r="C57" s="515"/>
      <c r="D57" s="10" t="str">
        <f>IF(ISNUMBER(DefCapB3!D24),DefCapB3!D24,"")</f>
        <v/>
      </c>
      <c r="E57" s="25"/>
      <c r="F57" s="25"/>
      <c r="G57" s="25"/>
      <c r="H57" s="25"/>
      <c r="I57" s="25"/>
      <c r="J57" s="25"/>
      <c r="K57" s="135"/>
    </row>
    <row r="58" spans="1:11" s="22" customFormat="1" ht="15" customHeight="1" x14ac:dyDescent="0.2">
      <c r="A58" s="137"/>
      <c r="B58" s="138"/>
      <c r="C58" s="138"/>
      <c r="D58" s="138"/>
      <c r="E58" s="138"/>
      <c r="F58" s="138"/>
      <c r="G58" s="138"/>
      <c r="H58" s="138"/>
      <c r="I58" s="138"/>
      <c r="J58" s="138"/>
      <c r="K58" s="139"/>
    </row>
    <row r="59" spans="1:11" ht="30" customHeight="1" x14ac:dyDescent="0.25">
      <c r="A59" s="47" t="s">
        <v>394</v>
      </c>
      <c r="B59" s="40"/>
      <c r="C59" s="41"/>
      <c r="D59" s="49"/>
      <c r="E59" s="49"/>
      <c r="F59" s="49"/>
      <c r="G59" s="49"/>
      <c r="H59" s="49"/>
      <c r="I59" s="49"/>
      <c r="J59" s="49"/>
      <c r="K59" s="59"/>
    </row>
    <row r="60" spans="1:11" s="22" customFormat="1" ht="15" customHeight="1" x14ac:dyDescent="0.2">
      <c r="A60" s="125"/>
      <c r="B60" s="23"/>
      <c r="C60" s="23"/>
      <c r="D60" s="141"/>
      <c r="E60" s="141"/>
      <c r="F60" s="141"/>
      <c r="G60" s="141"/>
      <c r="H60" s="141"/>
      <c r="I60" s="141"/>
      <c r="J60" s="141"/>
      <c r="K60" s="455"/>
    </row>
    <row r="61" spans="1:11" s="22" customFormat="1" ht="15" customHeight="1" x14ac:dyDescent="0.2">
      <c r="A61" s="123"/>
      <c r="B61" s="124"/>
      <c r="C61" s="134" t="s">
        <v>643</v>
      </c>
      <c r="D61" s="25"/>
      <c r="E61" s="25"/>
      <c r="F61" s="25"/>
      <c r="G61" s="25"/>
      <c r="H61" s="25"/>
      <c r="I61" s="25"/>
      <c r="J61" s="25"/>
      <c r="K61" s="24"/>
    </row>
    <row r="62" spans="1:11" s="22" customFormat="1" ht="15" customHeight="1" x14ac:dyDescent="0.2">
      <c r="A62" s="123"/>
      <c r="B62" s="99" t="s">
        <v>378</v>
      </c>
      <c r="C62" s="301"/>
      <c r="D62" s="25"/>
      <c r="E62" s="25"/>
      <c r="F62" s="25"/>
      <c r="G62" s="25"/>
      <c r="H62" s="25"/>
      <c r="I62" s="25"/>
      <c r="J62" s="25"/>
      <c r="K62" s="24"/>
    </row>
    <row r="63" spans="1:11" s="22" customFormat="1" ht="15" customHeight="1" x14ac:dyDescent="0.2">
      <c r="A63" s="123"/>
      <c r="B63" s="115" t="s">
        <v>379</v>
      </c>
      <c r="C63" s="136"/>
      <c r="D63" s="25"/>
      <c r="E63" s="25"/>
      <c r="F63" s="25"/>
      <c r="G63" s="25"/>
      <c r="H63" s="25"/>
      <c r="I63" s="25"/>
      <c r="J63" s="25"/>
      <c r="K63" s="24"/>
    </row>
    <row r="64" spans="1:11" s="22" customFormat="1" ht="15" customHeight="1" x14ac:dyDescent="0.2">
      <c r="A64" s="123"/>
      <c r="B64" s="115" t="s">
        <v>380</v>
      </c>
      <c r="C64" s="136"/>
      <c r="D64" s="25"/>
      <c r="E64" s="25"/>
      <c r="F64" s="25"/>
      <c r="G64" s="25"/>
      <c r="H64" s="25"/>
      <c r="I64" s="25"/>
      <c r="J64" s="25"/>
      <c r="K64" s="24"/>
    </row>
    <row r="65" spans="1:11" s="22" customFormat="1" ht="15" customHeight="1" x14ac:dyDescent="0.2">
      <c r="A65" s="123"/>
      <c r="B65" s="99" t="s">
        <v>381</v>
      </c>
      <c r="C65" s="492"/>
      <c r="D65" s="25"/>
      <c r="E65" s="25"/>
      <c r="F65" s="25"/>
      <c r="G65" s="25"/>
      <c r="H65" s="25"/>
      <c r="I65" s="25"/>
      <c r="J65" s="25"/>
      <c r="K65" s="24"/>
    </row>
    <row r="66" spans="1:11" s="22" customFormat="1" ht="15" customHeight="1" x14ac:dyDescent="0.2">
      <c r="A66" s="123"/>
      <c r="B66" s="115" t="s">
        <v>104</v>
      </c>
      <c r="C66" s="136"/>
      <c r="D66" s="25"/>
      <c r="E66" s="25"/>
      <c r="F66" s="25"/>
      <c r="G66" s="25"/>
      <c r="H66" s="25"/>
      <c r="I66" s="25"/>
      <c r="J66" s="25"/>
      <c r="K66" s="24"/>
    </row>
    <row r="67" spans="1:11" s="22" customFormat="1" ht="15" customHeight="1" x14ac:dyDescent="0.2">
      <c r="A67" s="123"/>
      <c r="B67" s="115" t="s">
        <v>383</v>
      </c>
      <c r="C67" s="136"/>
      <c r="D67" s="25"/>
      <c r="E67" s="25"/>
      <c r="F67" s="25"/>
      <c r="G67" s="25"/>
      <c r="H67" s="25"/>
      <c r="I67" s="25"/>
      <c r="J67" s="25"/>
      <c r="K67" s="24"/>
    </row>
    <row r="68" spans="1:11" s="22" customFormat="1" ht="15" customHeight="1" x14ac:dyDescent="0.2">
      <c r="A68" s="123"/>
      <c r="B68" s="115" t="s">
        <v>384</v>
      </c>
      <c r="C68" s="136"/>
      <c r="D68" s="25"/>
      <c r="E68" s="25"/>
      <c r="F68" s="25"/>
      <c r="G68" s="25"/>
      <c r="H68" s="25"/>
      <c r="I68" s="25"/>
      <c r="J68" s="25"/>
      <c r="K68" s="24"/>
    </row>
    <row r="69" spans="1:11" s="22" customFormat="1" ht="15" customHeight="1" x14ac:dyDescent="0.2">
      <c r="A69" s="123"/>
      <c r="B69" s="115" t="s">
        <v>211</v>
      </c>
      <c r="C69" s="136"/>
      <c r="D69" s="25"/>
      <c r="E69" s="25"/>
      <c r="F69" s="25"/>
      <c r="G69" s="25"/>
      <c r="H69" s="25"/>
      <c r="I69" s="25"/>
      <c r="J69" s="25"/>
      <c r="K69" s="24"/>
    </row>
    <row r="70" spans="1:11" s="22" customFormat="1" ht="15" customHeight="1" x14ac:dyDescent="0.2">
      <c r="A70" s="123"/>
      <c r="B70" s="115" t="s">
        <v>214</v>
      </c>
      <c r="C70" s="136"/>
      <c r="D70" s="25"/>
      <c r="E70" s="25"/>
      <c r="F70" s="25"/>
      <c r="G70" s="25"/>
      <c r="H70" s="25"/>
      <c r="I70" s="25"/>
      <c r="J70" s="25"/>
      <c r="K70" s="24"/>
    </row>
    <row r="71" spans="1:11" s="22" customFormat="1" ht="15" customHeight="1" x14ac:dyDescent="0.2">
      <c r="A71" s="123"/>
      <c r="B71" s="115" t="s">
        <v>162</v>
      </c>
      <c r="C71" s="136"/>
      <c r="D71" s="25"/>
      <c r="E71" s="25"/>
      <c r="F71" s="25"/>
      <c r="G71" s="25"/>
      <c r="H71" s="25"/>
      <c r="I71" s="25"/>
      <c r="J71" s="25"/>
      <c r="K71" s="24"/>
    </row>
    <row r="72" spans="1:11" s="22" customFormat="1" ht="15" customHeight="1" x14ac:dyDescent="0.2">
      <c r="A72" s="123"/>
      <c r="B72" s="99" t="s">
        <v>292</v>
      </c>
      <c r="C72" s="492"/>
      <c r="D72" s="25"/>
      <c r="E72" s="25"/>
      <c r="F72" s="25"/>
      <c r="G72" s="25"/>
      <c r="H72" s="25"/>
      <c r="I72" s="25"/>
      <c r="J72" s="25"/>
      <c r="K72" s="24"/>
    </row>
    <row r="73" spans="1:11" s="22" customFormat="1" ht="15" customHeight="1" x14ac:dyDescent="0.2">
      <c r="A73" s="123"/>
      <c r="B73" s="115" t="s">
        <v>94</v>
      </c>
      <c r="C73" s="136"/>
      <c r="D73" s="25"/>
      <c r="E73" s="25"/>
      <c r="F73" s="25"/>
      <c r="G73" s="25"/>
      <c r="H73" s="25"/>
      <c r="I73" s="25"/>
      <c r="J73" s="25"/>
      <c r="K73" s="24"/>
    </row>
    <row r="74" spans="1:11" s="22" customFormat="1" ht="15" customHeight="1" x14ac:dyDescent="0.2">
      <c r="A74" s="123"/>
      <c r="B74" s="115" t="s">
        <v>26</v>
      </c>
      <c r="C74" s="136"/>
      <c r="D74" s="25"/>
      <c r="E74" s="25"/>
      <c r="F74" s="25"/>
      <c r="G74" s="25"/>
      <c r="H74" s="25"/>
      <c r="I74" s="25"/>
      <c r="J74" s="25"/>
      <c r="K74" s="24"/>
    </row>
    <row r="75" spans="1:11" s="22" customFormat="1" ht="15" customHeight="1" x14ac:dyDescent="0.2">
      <c r="A75" s="123"/>
      <c r="B75" s="115" t="s">
        <v>95</v>
      </c>
      <c r="C75" s="136"/>
      <c r="D75" s="25"/>
      <c r="E75" s="25"/>
      <c r="F75" s="25"/>
      <c r="G75" s="25"/>
      <c r="H75" s="25"/>
      <c r="I75" s="25"/>
      <c r="J75" s="25"/>
      <c r="K75" s="24"/>
    </row>
    <row r="76" spans="1:11" s="22" customFormat="1" ht="15" customHeight="1" x14ac:dyDescent="0.2">
      <c r="A76" s="125"/>
      <c r="B76" s="23"/>
      <c r="C76" s="23"/>
      <c r="D76" s="132"/>
      <c r="E76" s="132"/>
      <c r="F76" s="132"/>
      <c r="G76" s="132"/>
      <c r="H76" s="132"/>
      <c r="I76" s="132"/>
      <c r="J76" s="132"/>
      <c r="K76" s="199"/>
    </row>
    <row r="77" spans="1:11" ht="30" customHeight="1" x14ac:dyDescent="0.25">
      <c r="A77" s="47" t="s">
        <v>377</v>
      </c>
      <c r="B77" s="40"/>
      <c r="C77" s="41"/>
      <c r="D77" s="49"/>
      <c r="E77" s="49"/>
      <c r="F77" s="49"/>
      <c r="G77" s="49"/>
      <c r="H77" s="49"/>
      <c r="I77" s="49"/>
      <c r="J77" s="49"/>
      <c r="K77" s="59"/>
    </row>
    <row r="78" spans="1:11" ht="15" customHeight="1" x14ac:dyDescent="0.2">
      <c r="A78" s="31"/>
      <c r="B78" s="29"/>
      <c r="C78" s="29"/>
      <c r="D78" s="61"/>
      <c r="E78" s="61"/>
      <c r="F78" s="61"/>
      <c r="G78" s="61"/>
      <c r="H78" s="61"/>
      <c r="I78" s="61"/>
      <c r="J78" s="61"/>
      <c r="K78" s="69"/>
    </row>
    <row r="79" spans="1:11" s="50" customFormat="1" ht="30" customHeight="1" x14ac:dyDescent="0.2">
      <c r="A79" s="31"/>
      <c r="B79" s="195" t="s">
        <v>666</v>
      </c>
      <c r="C79" s="29"/>
      <c r="K79" s="54"/>
    </row>
    <row r="80" spans="1:11" ht="30" customHeight="1" x14ac:dyDescent="0.25">
      <c r="A80" s="44" t="s">
        <v>228</v>
      </c>
      <c r="B80" s="33"/>
      <c r="C80" s="34"/>
      <c r="D80" s="50"/>
      <c r="E80" s="50"/>
      <c r="F80" s="50"/>
      <c r="G80" s="50"/>
      <c r="H80" s="50"/>
      <c r="I80" s="50"/>
      <c r="J80" s="50"/>
      <c r="K80" s="54"/>
    </row>
    <row r="81" spans="1:12" ht="30" customHeight="1" x14ac:dyDescent="0.25">
      <c r="A81" s="44" t="s">
        <v>296</v>
      </c>
      <c r="B81" s="33"/>
      <c r="C81" s="34"/>
      <c r="D81" s="50"/>
      <c r="E81" s="50"/>
      <c r="F81" s="50"/>
      <c r="G81" s="50"/>
      <c r="H81" s="50"/>
      <c r="I81" s="50"/>
      <c r="J81" s="50"/>
      <c r="K81" s="54"/>
    </row>
    <row r="82" spans="1:12" ht="15" customHeight="1" x14ac:dyDescent="0.25">
      <c r="A82" s="44"/>
      <c r="B82" s="33"/>
      <c r="C82" s="34"/>
      <c r="D82" s="50"/>
      <c r="E82" s="50"/>
      <c r="F82" s="50"/>
      <c r="G82" s="25"/>
      <c r="H82" s="25"/>
      <c r="I82" s="25"/>
      <c r="J82" s="25"/>
      <c r="K82" s="54"/>
    </row>
    <row r="83" spans="1:12" ht="15" customHeight="1" x14ac:dyDescent="0.2">
      <c r="A83" s="27"/>
      <c r="B83" s="29"/>
      <c r="C83" s="803" t="s">
        <v>376</v>
      </c>
      <c r="D83" s="815"/>
      <c r="E83" s="804"/>
      <c r="F83" s="812" t="s">
        <v>563</v>
      </c>
      <c r="G83" s="813"/>
      <c r="H83" s="813"/>
      <c r="I83" s="813"/>
      <c r="J83" s="814"/>
      <c r="K83" s="54"/>
      <c r="L83" s="711"/>
    </row>
    <row r="84" spans="1:12" ht="15" customHeight="1" x14ac:dyDescent="0.25">
      <c r="A84" s="44"/>
      <c r="B84" s="33"/>
      <c r="C84" s="812" t="s">
        <v>194</v>
      </c>
      <c r="D84" s="813"/>
      <c r="E84" s="813"/>
      <c r="F84" s="813"/>
      <c r="G84" s="814"/>
      <c r="H84" s="809" t="s">
        <v>259</v>
      </c>
      <c r="I84" s="810"/>
      <c r="J84" s="811"/>
      <c r="K84" s="54"/>
      <c r="L84" s="711"/>
    </row>
    <row r="85" spans="1:12" ht="45" customHeight="1" x14ac:dyDescent="0.2">
      <c r="A85" s="27"/>
      <c r="B85" s="29"/>
      <c r="C85" s="58" t="s">
        <v>197</v>
      </c>
      <c r="D85" s="58" t="s">
        <v>667</v>
      </c>
      <c r="E85" s="58" t="s">
        <v>668</v>
      </c>
      <c r="F85" s="58" t="s">
        <v>27</v>
      </c>
      <c r="G85" s="58" t="s">
        <v>28</v>
      </c>
      <c r="H85" s="500" t="s">
        <v>621</v>
      </c>
      <c r="I85" s="500" t="s">
        <v>669</v>
      </c>
      <c r="J85" s="149" t="s">
        <v>623</v>
      </c>
      <c r="K85" s="54"/>
    </row>
    <row r="86" spans="1:12" s="22" customFormat="1" ht="15" customHeight="1" x14ac:dyDescent="0.2">
      <c r="A86" s="123"/>
      <c r="B86" s="129" t="s">
        <v>659</v>
      </c>
      <c r="C86" s="194" t="str">
        <f>IF(ISNUMBER(C89),C87+C89,"")</f>
        <v/>
      </c>
      <c r="D86" s="194" t="str">
        <f>IF(AND(ISNUMBER(D88),ISNUMBER(D89)),SUM(D87:D89),"")</f>
        <v/>
      </c>
      <c r="E86" s="194" t="str">
        <f>IF(AND(ISNUMBER(E88),ISNUMBER(E89)),SUM(E87:E89),"")</f>
        <v/>
      </c>
      <c r="F86" s="194" t="str">
        <f>IF(AND(ISNUMBER(F88),ISNUMBER(F89)),SUM(F87:F89),"")</f>
        <v/>
      </c>
      <c r="G86" s="194" t="str">
        <f>IF(AND(ISNUMBER(G88),ISNUMBER(G89)),SUM(G87:G89),"")</f>
        <v/>
      </c>
      <c r="H86" s="515"/>
      <c r="I86" s="516"/>
      <c r="J86" s="517"/>
      <c r="K86" s="54"/>
    </row>
    <row r="87" spans="1:12" s="22" customFormat="1" ht="15" customHeight="1" x14ac:dyDescent="0.2">
      <c r="A87" s="123"/>
      <c r="B87" s="110" t="s">
        <v>402</v>
      </c>
      <c r="C87" s="142"/>
      <c r="D87" s="142"/>
      <c r="E87" s="142"/>
      <c r="F87" s="136"/>
      <c r="G87" s="136"/>
      <c r="H87" s="136"/>
      <c r="I87" s="136"/>
      <c r="J87" s="136"/>
      <c r="K87" s="54"/>
    </row>
    <row r="88" spans="1:12" s="22" customFormat="1" ht="15" customHeight="1" x14ac:dyDescent="0.2">
      <c r="A88" s="123"/>
      <c r="B88" s="110" t="s">
        <v>762</v>
      </c>
      <c r="C88" s="492"/>
      <c r="D88" s="142"/>
      <c r="E88" s="142"/>
      <c r="F88" s="194" t="str">
        <f>IF(ISNUMBER(D88),D88,"")</f>
        <v/>
      </c>
      <c r="G88" s="194" t="str">
        <f>IF(ISNUMBER(E88),E88,"")</f>
        <v/>
      </c>
      <c r="H88" s="506"/>
      <c r="I88" s="507"/>
      <c r="J88" s="508"/>
      <c r="K88" s="135"/>
    </row>
    <row r="89" spans="1:12" s="22" customFormat="1" ht="15" customHeight="1" x14ac:dyDescent="0.2">
      <c r="A89" s="123"/>
      <c r="B89" s="110" t="s">
        <v>656</v>
      </c>
      <c r="C89" s="142"/>
      <c r="D89" s="142"/>
      <c r="E89" s="142"/>
      <c r="F89" s="136"/>
      <c r="G89" s="136"/>
      <c r="H89" s="509"/>
      <c r="I89" s="510"/>
      <c r="J89" s="511"/>
      <c r="K89" s="24"/>
    </row>
    <row r="90" spans="1:12" s="22" customFormat="1" ht="15" customHeight="1" x14ac:dyDescent="0.2">
      <c r="A90" s="123"/>
      <c r="B90" s="129" t="s">
        <v>660</v>
      </c>
      <c r="C90" s="194" t="str">
        <f>IF(ISNUMBER(C92),C91+C92,"")</f>
        <v/>
      </c>
      <c r="D90" s="194" t="str">
        <f>IF(ISNUMBER(D92),D91+D92,"")</f>
        <v/>
      </c>
      <c r="E90" s="194" t="str">
        <f>IF(ISNUMBER(E92),E91+E92,"")</f>
        <v/>
      </c>
      <c r="F90" s="194" t="str">
        <f>IF(ISNUMBER(F92),F91+F92,"")</f>
        <v/>
      </c>
      <c r="G90" s="194" t="str">
        <f>IF(ISNUMBER(G92),G91+G92,"")</f>
        <v/>
      </c>
      <c r="H90" s="512"/>
      <c r="I90" s="513"/>
      <c r="J90" s="514"/>
      <c r="K90" s="135"/>
    </row>
    <row r="91" spans="1:12" s="22" customFormat="1" ht="15" customHeight="1" x14ac:dyDescent="0.2">
      <c r="A91" s="123"/>
      <c r="B91" s="110" t="s">
        <v>402</v>
      </c>
      <c r="C91" s="142"/>
      <c r="D91" s="142"/>
      <c r="E91" s="142"/>
      <c r="F91" s="136"/>
      <c r="G91" s="136"/>
      <c r="H91" s="136"/>
      <c r="I91" s="136"/>
      <c r="J91" s="136"/>
      <c r="K91" s="135"/>
    </row>
    <row r="92" spans="1:12" s="22" customFormat="1" ht="15" customHeight="1" x14ac:dyDescent="0.2">
      <c r="A92" s="123"/>
      <c r="B92" s="110" t="s">
        <v>656</v>
      </c>
      <c r="C92" s="142"/>
      <c r="D92" s="142"/>
      <c r="E92" s="142"/>
      <c r="F92" s="136"/>
      <c r="G92" s="136"/>
      <c r="H92" s="506"/>
      <c r="I92" s="507"/>
      <c r="J92" s="508"/>
      <c r="K92" s="135"/>
    </row>
    <row r="93" spans="1:12" s="22" customFormat="1" ht="15" customHeight="1" x14ac:dyDescent="0.2">
      <c r="A93" s="123"/>
      <c r="B93" s="129" t="s">
        <v>661</v>
      </c>
      <c r="C93" s="194" t="str">
        <f>IF(ISNUMBER(C95),C94+C95,"")</f>
        <v/>
      </c>
      <c r="D93" s="194" t="str">
        <f>IF(ISNUMBER(D95),D94+D95,"")</f>
        <v/>
      </c>
      <c r="E93" s="194" t="str">
        <f>IF(ISNUMBER(E95),E94+E95,"")</f>
        <v/>
      </c>
      <c r="F93" s="194" t="str">
        <f>IF(ISNUMBER(F95),F94+F95,"")</f>
        <v/>
      </c>
      <c r="G93" s="194" t="str">
        <f>IF(ISNUMBER(G95),G94+G95,"")</f>
        <v/>
      </c>
      <c r="H93" s="512"/>
      <c r="I93" s="513"/>
      <c r="J93" s="514"/>
      <c r="K93" s="135"/>
    </row>
    <row r="94" spans="1:12" s="22" customFormat="1" ht="15" customHeight="1" x14ac:dyDescent="0.2">
      <c r="A94" s="123"/>
      <c r="B94" s="110" t="s">
        <v>402</v>
      </c>
      <c r="C94" s="142"/>
      <c r="D94" s="142"/>
      <c r="E94" s="142"/>
      <c r="F94" s="136"/>
      <c r="G94" s="136"/>
      <c r="H94" s="136"/>
      <c r="I94" s="136"/>
      <c r="J94" s="136"/>
      <c r="K94" s="135"/>
    </row>
    <row r="95" spans="1:12" s="22" customFormat="1" ht="15" customHeight="1" x14ac:dyDescent="0.2">
      <c r="A95" s="123"/>
      <c r="B95" s="110" t="s">
        <v>656</v>
      </c>
      <c r="C95" s="142"/>
      <c r="D95" s="142"/>
      <c r="E95" s="142"/>
      <c r="F95" s="136"/>
      <c r="G95" s="136"/>
      <c r="H95" s="506"/>
      <c r="I95" s="507"/>
      <c r="J95" s="508"/>
      <c r="K95" s="135"/>
    </row>
    <row r="96" spans="1:12" s="22" customFormat="1" ht="15" customHeight="1" x14ac:dyDescent="0.2">
      <c r="A96" s="123"/>
      <c r="B96" s="129" t="s">
        <v>662</v>
      </c>
      <c r="C96" s="194" t="str">
        <f>IF(ISNUMBER(C98),C97+C98,"")</f>
        <v/>
      </c>
      <c r="D96" s="194" t="str">
        <f>IF(ISNUMBER(D98),D97+D98,"")</f>
        <v/>
      </c>
      <c r="E96" s="194" t="str">
        <f>IF(ISNUMBER(E98),E97+E98,"")</f>
        <v/>
      </c>
      <c r="F96" s="194" t="str">
        <f>IF(ISNUMBER(F98),F97+F98,"")</f>
        <v/>
      </c>
      <c r="G96" s="194" t="str">
        <f>IF(ISNUMBER(G98),G97+G98,"")</f>
        <v/>
      </c>
      <c r="H96" s="512"/>
      <c r="I96" s="513"/>
      <c r="J96" s="514"/>
      <c r="K96" s="135"/>
    </row>
    <row r="97" spans="1:12" s="22" customFormat="1" ht="15" customHeight="1" x14ac:dyDescent="0.2">
      <c r="A97" s="123"/>
      <c r="B97" s="110" t="s">
        <v>402</v>
      </c>
      <c r="C97" s="142"/>
      <c r="D97" s="142"/>
      <c r="E97" s="142"/>
      <c r="F97" s="136"/>
      <c r="G97" s="136"/>
      <c r="H97" s="136"/>
      <c r="I97" s="136"/>
      <c r="J97" s="136"/>
      <c r="K97" s="135"/>
    </row>
    <row r="98" spans="1:12" s="22" customFormat="1" ht="15" customHeight="1" x14ac:dyDescent="0.2">
      <c r="A98" s="123"/>
      <c r="B98" s="110" t="s">
        <v>656</v>
      </c>
      <c r="C98" s="142"/>
      <c r="D98" s="142"/>
      <c r="E98" s="142"/>
      <c r="F98" s="136"/>
      <c r="G98" s="136"/>
      <c r="H98" s="506"/>
      <c r="I98" s="507"/>
      <c r="J98" s="508"/>
      <c r="K98" s="135"/>
    </row>
    <row r="99" spans="1:12" s="22" customFormat="1" ht="15" customHeight="1" x14ac:dyDescent="0.2">
      <c r="A99" s="123"/>
      <c r="B99" s="129" t="s">
        <v>532</v>
      </c>
      <c r="C99" s="142"/>
      <c r="D99" s="142"/>
      <c r="E99" s="142"/>
      <c r="F99" s="194" t="str">
        <f>IF(ISNUMBER(D99),D99,"")</f>
        <v/>
      </c>
      <c r="G99" s="136"/>
      <c r="H99" s="509"/>
      <c r="I99" s="510"/>
      <c r="J99" s="511"/>
      <c r="K99" s="135"/>
    </row>
    <row r="100" spans="1:12" s="22" customFormat="1" ht="15" customHeight="1" x14ac:dyDescent="0.2">
      <c r="A100" s="123"/>
      <c r="B100" s="129" t="s">
        <v>182</v>
      </c>
      <c r="C100" s="142"/>
      <c r="D100" s="142"/>
      <c r="E100" s="142"/>
      <c r="F100" s="194" t="str">
        <f>IF(ISNUMBER(D100),D100,"")</f>
        <v/>
      </c>
      <c r="G100" s="136"/>
      <c r="H100" s="509"/>
      <c r="I100" s="510"/>
      <c r="J100" s="511"/>
      <c r="K100" s="135"/>
    </row>
    <row r="101" spans="1:12" s="22" customFormat="1" ht="15" customHeight="1" x14ac:dyDescent="0.2">
      <c r="A101" s="123"/>
      <c r="B101" s="129" t="s">
        <v>181</v>
      </c>
      <c r="C101" s="142"/>
      <c r="D101" s="142"/>
      <c r="E101" s="142"/>
      <c r="F101" s="136"/>
      <c r="G101" s="136"/>
      <c r="H101" s="509"/>
      <c r="I101" s="510"/>
      <c r="J101" s="511"/>
      <c r="K101" s="135"/>
    </row>
    <row r="102" spans="1:12" s="22" customFormat="1" ht="15" customHeight="1" x14ac:dyDescent="0.2">
      <c r="A102" s="123"/>
      <c r="B102" s="129" t="s">
        <v>183</v>
      </c>
      <c r="C102" s="142"/>
      <c r="D102" s="142"/>
      <c r="E102" s="142"/>
      <c r="F102" s="194" t="str">
        <f t="shared" ref="F102:G104" si="0">IF(ISNUMBER(D102),D102,"")</f>
        <v/>
      </c>
      <c r="G102" s="194" t="str">
        <f t="shared" si="0"/>
        <v/>
      </c>
      <c r="H102" s="509"/>
      <c r="I102" s="510"/>
      <c r="J102" s="511"/>
      <c r="K102" s="135"/>
    </row>
    <row r="103" spans="1:12" s="22" customFormat="1" ht="15" customHeight="1" x14ac:dyDescent="0.2">
      <c r="A103" s="123"/>
      <c r="B103" s="109" t="s">
        <v>184</v>
      </c>
      <c r="C103" s="142"/>
      <c r="D103" s="142"/>
      <c r="E103" s="142"/>
      <c r="F103" s="194" t="str">
        <f t="shared" si="0"/>
        <v/>
      </c>
      <c r="G103" s="194" t="str">
        <f t="shared" si="0"/>
        <v/>
      </c>
      <c r="H103" s="509"/>
      <c r="I103" s="510"/>
      <c r="J103" s="511"/>
      <c r="K103" s="135"/>
    </row>
    <row r="104" spans="1:12" s="22" customFormat="1" ht="15" customHeight="1" x14ac:dyDescent="0.2">
      <c r="A104" s="123"/>
      <c r="B104" s="129" t="s">
        <v>185</v>
      </c>
      <c r="C104" s="142"/>
      <c r="D104" s="142"/>
      <c r="E104" s="142"/>
      <c r="F104" s="194" t="str">
        <f t="shared" si="0"/>
        <v/>
      </c>
      <c r="G104" s="194" t="str">
        <f t="shared" si="0"/>
        <v/>
      </c>
      <c r="H104" s="509"/>
      <c r="I104" s="510"/>
      <c r="J104" s="511"/>
      <c r="K104" s="135"/>
    </row>
    <row r="105" spans="1:12" s="22" customFormat="1" ht="15" customHeight="1" x14ac:dyDescent="0.2">
      <c r="A105" s="123"/>
      <c r="B105" s="129" t="s">
        <v>44</v>
      </c>
      <c r="C105" s="492"/>
      <c r="D105" s="142"/>
      <c r="E105" s="492"/>
      <c r="F105" s="194" t="str">
        <f>IF(ISNUMBER(D105),D105,"")</f>
        <v/>
      </c>
      <c r="G105" s="515"/>
      <c r="H105" s="513"/>
      <c r="I105" s="513"/>
      <c r="J105" s="514"/>
      <c r="K105" s="135"/>
    </row>
    <row r="106" spans="1:12" s="22" customFormat="1" ht="15" customHeight="1" x14ac:dyDescent="0.2">
      <c r="A106" s="123"/>
      <c r="B106" s="129" t="s">
        <v>697</v>
      </c>
      <c r="C106" s="142"/>
      <c r="D106" s="142"/>
      <c r="E106" s="142"/>
      <c r="F106" s="136"/>
      <c r="G106" s="136"/>
      <c r="H106" s="136"/>
      <c r="I106" s="136"/>
      <c r="J106" s="136"/>
      <c r="K106" s="135"/>
    </row>
    <row r="107" spans="1:12" s="22" customFormat="1" ht="15" customHeight="1" x14ac:dyDescent="0.2">
      <c r="A107" s="123"/>
      <c r="B107" s="148" t="s">
        <v>427</v>
      </c>
      <c r="C107" s="142"/>
      <c r="D107" s="142"/>
      <c r="E107" s="142"/>
      <c r="F107" s="194" t="str">
        <f>IF(ISNUMBER(D107),D107,"")</f>
        <v/>
      </c>
      <c r="G107" s="194" t="str">
        <f>IF(ISNUMBER(E107),E107,"")</f>
        <v/>
      </c>
      <c r="H107" s="515"/>
      <c r="I107" s="516"/>
      <c r="J107" s="517"/>
      <c r="K107" s="135"/>
    </row>
    <row r="108" spans="1:12" s="22" customFormat="1" ht="15" customHeight="1" x14ac:dyDescent="0.2">
      <c r="A108" s="123"/>
      <c r="B108" s="111" t="s">
        <v>577</v>
      </c>
      <c r="C108" s="379">
        <f>IF(C33="Yes", IF(AND(ISNUMBER(C86),ISNUMBER(C90),ISNUMBER(C93),ISNUMBER(C96),ISNUMBER(C99),ISNUMBER(C100),ISNUMBER(C101),ISNUMBER(C102),ISNUMBER(C103),ISNUMBER(C104),ISNUMBER(C106),ISNUMBER(C107)),SUM(C86,C90,C93,C96,C99:C104,C106,C107),""), 0)</f>
        <v>0</v>
      </c>
      <c r="D108" s="379">
        <f>IF(C34="Yes", IF(AND(ISNUMBER(D86),ISNUMBER(D90),ISNUMBER(D93),ISNUMBER(D96),ISNUMBER(D99),ISNUMBER(D100),ISNUMBER(D101),ISNUMBER(D102),ISNUMBER(D103),ISNUMBER(D104),ISNUMBER(D105),ISNUMBER(D106),ISNUMBER(D107)),SUM(D86,D90,D93,D96,D99:D106,D107),""), 0)</f>
        <v>0</v>
      </c>
      <c r="E108" s="379">
        <f>IF(OR(C35="Yes", C36="Yes"),IF(AND(ISNUMBER(E86),ISNUMBER(E90),ISNUMBER(E93),ISNUMBER(E96),ISNUMBER(E99),ISNUMBER(E100),ISNUMBER(E101),ISNUMBER(E102),ISNUMBER(E103),ISNUMBER(E104),ISNUMBER(E106),ISNUMBER(E107)),SUM(E86,E90,E93,E96,E99:E104,E106,E107),""), 0)</f>
        <v>0</v>
      </c>
      <c r="F108" s="379">
        <f>IF(C34="Yes", IF(AND(ISNUMBER(F86),ISNUMBER(F90),ISNUMBER(F93),ISNUMBER(F96),ISNUMBER(F99),ISNUMBER(F100),ISNUMBER(F101),ISNUMBER(F102),ISNUMBER(F103),ISNUMBER(F104),ISNUMBER(F105),ISNUMBER(F106),ISNUMBER(F107)),SUM(F86,F90,F93,F96,F99:F106,F107),""), 0)</f>
        <v>0</v>
      </c>
      <c r="G108" s="379">
        <f>IF(OR(C35="Yes", C36="Yes"),IF(AND(ISNUMBER(G86),ISNUMBER(G90),ISNUMBER(G93),ISNUMBER(G96),ISNUMBER(G99),ISNUMBER(G100),ISNUMBER(G101),ISNUMBER(G102),ISNUMBER(G103),ISNUMBER(G104),ISNUMBER(G106),ISNUMBER(G107)),SUM(G86,G90,G93,G96,G99:G101,G102:G104,G106,G107),""), 0)</f>
        <v>0</v>
      </c>
      <c r="H108" s="515"/>
      <c r="I108" s="516"/>
      <c r="J108" s="517"/>
      <c r="K108" s="135"/>
      <c r="L108" s="710"/>
    </row>
    <row r="109" spans="1:12" s="22" customFormat="1" ht="15" customHeight="1" x14ac:dyDescent="0.2">
      <c r="A109" s="144"/>
      <c r="B109" s="23"/>
      <c r="C109" s="23"/>
      <c r="D109" s="25"/>
      <c r="E109" s="25"/>
      <c r="F109" s="25"/>
      <c r="G109" s="25"/>
      <c r="H109" s="25"/>
      <c r="I109" s="25"/>
      <c r="J109" s="25"/>
      <c r="K109" s="24"/>
    </row>
    <row r="110" spans="1:12" s="22" customFormat="1" ht="15" customHeight="1" x14ac:dyDescent="0.2">
      <c r="A110" s="123"/>
      <c r="B110" s="23"/>
      <c r="C110" s="803" t="s">
        <v>376</v>
      </c>
      <c r="D110" s="815"/>
      <c r="E110" s="804"/>
      <c r="F110" s="812" t="s">
        <v>563</v>
      </c>
      <c r="G110" s="813"/>
      <c r="H110" s="813"/>
      <c r="I110" s="813"/>
      <c r="J110" s="814"/>
      <c r="K110" s="135"/>
      <c r="L110" s="710"/>
    </row>
    <row r="111" spans="1:12" ht="15" customHeight="1" x14ac:dyDescent="0.25">
      <c r="A111" s="44"/>
      <c r="B111" s="33"/>
      <c r="C111" s="817" t="s">
        <v>194</v>
      </c>
      <c r="D111" s="506"/>
      <c r="E111" s="508"/>
      <c r="F111" s="819" t="s">
        <v>194</v>
      </c>
      <c r="G111" s="738"/>
      <c r="H111" s="809" t="s">
        <v>259</v>
      </c>
      <c r="I111" s="810"/>
      <c r="J111" s="811"/>
      <c r="K111" s="54"/>
      <c r="L111" s="711"/>
    </row>
    <row r="112" spans="1:12" ht="30" customHeight="1" x14ac:dyDescent="0.25">
      <c r="A112" s="44"/>
      <c r="B112" s="33"/>
      <c r="C112" s="818"/>
      <c r="D112" s="512"/>
      <c r="E112" s="514"/>
      <c r="F112" s="820"/>
      <c r="G112" s="509"/>
      <c r="H112" s="712" t="s">
        <v>621</v>
      </c>
      <c r="I112" s="712" t="s">
        <v>669</v>
      </c>
      <c r="J112" s="149" t="s">
        <v>623</v>
      </c>
      <c r="K112" s="54"/>
      <c r="L112" s="711"/>
    </row>
    <row r="113" spans="1:12" s="22" customFormat="1" ht="15" customHeight="1" x14ac:dyDescent="0.2">
      <c r="A113" s="123"/>
      <c r="B113" s="109" t="s">
        <v>1039</v>
      </c>
      <c r="C113" s="735" t="str">
        <f>IF(AND(ISNUMBER(C114),ISNUMBER(C115)),C114+C115,"")</f>
        <v/>
      </c>
      <c r="D113" s="506"/>
      <c r="E113" s="508"/>
      <c r="F113" s="737" t="str">
        <f>IF(AND(ISNUMBER(F114),ISNUMBER(F115)),F114+F115,"")</f>
        <v/>
      </c>
      <c r="G113" s="518"/>
      <c r="H113" s="518"/>
      <c r="I113" s="518"/>
      <c r="J113" s="518"/>
      <c r="K113" s="135"/>
      <c r="L113" s="816"/>
    </row>
    <row r="114" spans="1:12" s="22" customFormat="1" ht="15" customHeight="1" x14ac:dyDescent="0.2">
      <c r="A114" s="123"/>
      <c r="B114" s="185" t="s">
        <v>1037</v>
      </c>
      <c r="C114" s="736"/>
      <c r="D114" s="509"/>
      <c r="E114" s="511"/>
      <c r="F114" s="733"/>
      <c r="G114" s="738"/>
      <c r="H114" s="734"/>
      <c r="I114" s="136"/>
      <c r="J114" s="136"/>
      <c r="K114" s="135"/>
      <c r="L114" s="816"/>
    </row>
    <row r="115" spans="1:12" s="22" customFormat="1" ht="15" customHeight="1" x14ac:dyDescent="0.2">
      <c r="A115" s="123"/>
      <c r="B115" s="185" t="s">
        <v>1038</v>
      </c>
      <c r="C115" s="736"/>
      <c r="D115" s="509"/>
      <c r="E115" s="511"/>
      <c r="F115" s="733"/>
      <c r="G115" s="509"/>
      <c r="H115" s="516"/>
      <c r="I115" s="516"/>
      <c r="J115" s="517"/>
      <c r="K115" s="135"/>
      <c r="L115" s="816"/>
    </row>
    <row r="116" spans="1:12" s="22" customFormat="1" ht="15" customHeight="1" x14ac:dyDescent="0.2">
      <c r="A116" s="123"/>
      <c r="B116" s="111" t="s">
        <v>492</v>
      </c>
      <c r="C116" s="742"/>
      <c r="D116" s="513"/>
      <c r="E116" s="513"/>
      <c r="F116" s="743"/>
      <c r="G116" s="514"/>
      <c r="H116" s="379" t="str">
        <f>IF(AND(ISNUMBER(H87),ISNUMBER(H91),ISNUMBER(H94),ISNUMBER(H97),ISNUMBER(H106),ISNUMBER(H114)),SUM(H87,H91,H94,H97,H106,H114),"")</f>
        <v/>
      </c>
      <c r="I116" s="379" t="str">
        <f>IF(AND(ISNUMBER(I87),ISNUMBER(I91),ISNUMBER(I94),ISNUMBER(I97),ISNUMBER(I106),ISNUMBER(I114)),SUM(I87,I91,I94,I97,I106,I114),"")</f>
        <v/>
      </c>
      <c r="J116" s="379" t="str">
        <f>IF(AND(ISNUMBER(J87),ISNUMBER(J91),ISNUMBER(J94),ISNUMBER(J97),ISNUMBER(J106),ISNUMBER(J114)),SUM(J87,J91,J94,J97,J106,J114),"")</f>
        <v/>
      </c>
      <c r="K116" s="135"/>
      <c r="L116" s="741"/>
    </row>
    <row r="117" spans="1:12" s="22" customFormat="1" ht="15" customHeight="1" x14ac:dyDescent="0.2">
      <c r="A117" s="144"/>
      <c r="B117" s="23"/>
      <c r="C117" s="23"/>
      <c r="D117" s="25"/>
      <c r="E117" s="25"/>
      <c r="F117" s="25"/>
      <c r="G117" s="25"/>
      <c r="H117" s="25"/>
      <c r="I117" s="25"/>
      <c r="J117" s="25"/>
      <c r="K117" s="24"/>
    </row>
    <row r="118" spans="1:12" s="22" customFormat="1" ht="15" customHeight="1" x14ac:dyDescent="0.2">
      <c r="A118" s="123"/>
      <c r="B118" s="23"/>
      <c r="C118" s="803" t="s">
        <v>376</v>
      </c>
      <c r="D118" s="815"/>
      <c r="E118" s="804"/>
      <c r="F118" s="812" t="s">
        <v>563</v>
      </c>
      <c r="G118" s="813"/>
      <c r="H118" s="813"/>
      <c r="I118" s="814"/>
      <c r="J118" s="25"/>
      <c r="K118" s="135"/>
    </row>
    <row r="119" spans="1:12" s="22" customFormat="1" ht="15" customHeight="1" x14ac:dyDescent="0.2">
      <c r="A119" s="123"/>
      <c r="B119" s="23"/>
      <c r="C119" s="821" t="s">
        <v>194</v>
      </c>
      <c r="D119" s="506"/>
      <c r="E119" s="508"/>
      <c r="F119" s="817" t="s">
        <v>194</v>
      </c>
      <c r="G119" s="738"/>
      <c r="H119" s="809" t="s">
        <v>259</v>
      </c>
      <c r="I119" s="811"/>
      <c r="J119" s="25"/>
      <c r="K119" s="135"/>
    </row>
    <row r="120" spans="1:12" s="22" customFormat="1" ht="45" customHeight="1" x14ac:dyDescent="0.2">
      <c r="A120" s="123"/>
      <c r="B120" s="23"/>
      <c r="C120" s="822"/>
      <c r="D120" s="509"/>
      <c r="E120" s="511"/>
      <c r="F120" s="818"/>
      <c r="G120" s="509"/>
      <c r="H120" s="149" t="s">
        <v>255</v>
      </c>
      <c r="I120" s="149" t="s">
        <v>256</v>
      </c>
      <c r="J120" s="25"/>
      <c r="K120" s="135"/>
    </row>
    <row r="121" spans="1:12" s="22" customFormat="1" ht="15" customHeight="1" x14ac:dyDescent="0.2">
      <c r="A121" s="123"/>
      <c r="B121" s="129" t="s">
        <v>308</v>
      </c>
      <c r="C121" s="735" t="str">
        <f>IF(AND(ISNUMBER(C122),ISNUMBER(C123)),C122+C123,"")</f>
        <v/>
      </c>
      <c r="D121" s="509"/>
      <c r="E121" s="511"/>
      <c r="F121" s="735" t="str">
        <f>IF(AND(ISNUMBER(F122),ISNUMBER(F123)),F122+F123,"")</f>
        <v/>
      </c>
      <c r="G121" s="506"/>
      <c r="H121" s="507"/>
      <c r="I121" s="508"/>
      <c r="J121" s="25"/>
      <c r="K121" s="135"/>
    </row>
    <row r="122" spans="1:12" s="22" customFormat="1" ht="15" customHeight="1" x14ac:dyDescent="0.2">
      <c r="A122" s="123"/>
      <c r="B122" s="110" t="s">
        <v>657</v>
      </c>
      <c r="C122" s="736"/>
      <c r="D122" s="509"/>
      <c r="E122" s="511"/>
      <c r="F122" s="744"/>
      <c r="G122" s="509"/>
      <c r="H122" s="513"/>
      <c r="I122" s="514"/>
      <c r="J122" s="25"/>
      <c r="K122" s="135"/>
    </row>
    <row r="123" spans="1:12" s="22" customFormat="1" ht="15" customHeight="1" x14ac:dyDescent="0.2">
      <c r="A123" s="123"/>
      <c r="B123" s="110" t="s">
        <v>658</v>
      </c>
      <c r="C123" s="736"/>
      <c r="D123" s="509"/>
      <c r="E123" s="511"/>
      <c r="F123" s="744"/>
      <c r="G123" s="738"/>
      <c r="H123" s="734"/>
      <c r="I123" s="136"/>
      <c r="J123" s="25"/>
      <c r="K123" s="135"/>
    </row>
    <row r="124" spans="1:12" s="22" customFormat="1" ht="15" customHeight="1" x14ac:dyDescent="0.2">
      <c r="A124" s="123"/>
      <c r="B124" s="739" t="s">
        <v>599</v>
      </c>
      <c r="C124" s="740" t="str">
        <f>IF(AND(ISNUMBER(C108),ISNUMBER(D108),ISNUMBER(E108),ISNUMBER(C113),ISNUMBER(C121)),SUM(C108:E108,C113,C121),"")</f>
        <v/>
      </c>
      <c r="D124" s="512"/>
      <c r="E124" s="514"/>
      <c r="F124" s="745" t="str">
        <f>IF(AND(ISNUMBER(C108),ISNUMBER(F108),ISNUMBER(G108),ISNUMBER(F113),ISNUMBER(F121)),SUM(C108,F108:G108,F113,F121),"")</f>
        <v/>
      </c>
      <c r="G124" s="512"/>
      <c r="H124" s="516"/>
      <c r="I124" s="517"/>
      <c r="J124" s="25"/>
      <c r="K124" s="24"/>
    </row>
    <row r="125" spans="1:12" ht="45" customHeight="1" x14ac:dyDescent="0.25">
      <c r="A125" s="44" t="s">
        <v>297</v>
      </c>
      <c r="B125" s="33"/>
      <c r="C125" s="34"/>
      <c r="D125" s="50"/>
      <c r="E125" s="50"/>
      <c r="F125" s="50"/>
      <c r="G125" s="50"/>
      <c r="H125" s="25"/>
      <c r="I125" s="25"/>
      <c r="J125" s="25"/>
      <c r="K125" s="54"/>
    </row>
    <row r="126" spans="1:12" s="22" customFormat="1" ht="15" customHeight="1" x14ac:dyDescent="0.2">
      <c r="A126" s="144"/>
      <c r="B126" s="23"/>
      <c r="C126" s="23"/>
      <c r="D126" s="25"/>
      <c r="E126" s="25"/>
      <c r="F126" s="25"/>
      <c r="G126" s="25"/>
      <c r="H126" s="132"/>
      <c r="I126" s="25"/>
      <c r="J126" s="25"/>
      <c r="K126" s="24"/>
    </row>
    <row r="127" spans="1:12" s="22" customFormat="1" ht="15" customHeight="1" x14ac:dyDescent="0.2">
      <c r="A127" s="123"/>
      <c r="B127" s="23"/>
      <c r="C127" s="809" t="s">
        <v>210</v>
      </c>
      <c r="D127" s="810"/>
      <c r="E127" s="810"/>
      <c r="F127" s="811"/>
      <c r="G127" s="809" t="s">
        <v>259</v>
      </c>
      <c r="H127" s="811"/>
      <c r="I127" s="25"/>
      <c r="J127" s="25"/>
      <c r="K127" s="479"/>
    </row>
    <row r="128" spans="1:12" s="22" customFormat="1" ht="15" customHeight="1" x14ac:dyDescent="0.2">
      <c r="A128" s="123"/>
      <c r="B128" s="23"/>
      <c r="C128" s="807" t="s">
        <v>374</v>
      </c>
      <c r="D128" s="812" t="s">
        <v>375</v>
      </c>
      <c r="E128" s="813"/>
      <c r="F128" s="813"/>
      <c r="G128" s="813"/>
      <c r="H128" s="814"/>
      <c r="I128" s="25"/>
      <c r="J128" s="25"/>
      <c r="K128" s="468"/>
    </row>
    <row r="129" spans="1:11" s="22" customFormat="1" ht="60" customHeight="1" x14ac:dyDescent="0.2">
      <c r="A129" s="123"/>
      <c r="B129" s="23"/>
      <c r="C129" s="808"/>
      <c r="D129" s="149" t="s">
        <v>577</v>
      </c>
      <c r="E129" s="149" t="s">
        <v>257</v>
      </c>
      <c r="F129" s="149" t="s">
        <v>258</v>
      </c>
      <c r="G129" s="149" t="s">
        <v>1040</v>
      </c>
      <c r="H129" s="149" t="s">
        <v>1041</v>
      </c>
      <c r="I129" s="25"/>
      <c r="J129" s="25"/>
      <c r="K129" s="468"/>
    </row>
    <row r="130" spans="1:11" s="22" customFormat="1" ht="15" customHeight="1" x14ac:dyDescent="0.2">
      <c r="A130" s="123"/>
      <c r="B130" s="145" t="s">
        <v>56</v>
      </c>
      <c r="C130" s="142"/>
      <c r="D130" s="469"/>
      <c r="E130" s="506"/>
      <c r="F130" s="507"/>
      <c r="G130" s="507"/>
      <c r="H130" s="508"/>
      <c r="I130" s="25"/>
      <c r="J130" s="25"/>
      <c r="K130" s="24"/>
    </row>
    <row r="131" spans="1:11" s="22" customFormat="1" ht="15" customHeight="1" x14ac:dyDescent="0.2">
      <c r="A131" s="123"/>
      <c r="B131" s="104" t="s">
        <v>57</v>
      </c>
      <c r="C131" s="142"/>
      <c r="D131" s="136"/>
      <c r="E131" s="512"/>
      <c r="F131" s="513"/>
      <c r="G131" s="513"/>
      <c r="H131" s="514"/>
      <c r="I131" s="25"/>
      <c r="J131" s="25"/>
      <c r="K131" s="24"/>
    </row>
    <row r="132" spans="1:11" s="22" customFormat="1" ht="15" customHeight="1" x14ac:dyDescent="0.2">
      <c r="A132" s="123"/>
      <c r="B132" s="115" t="s">
        <v>595</v>
      </c>
      <c r="C132" s="142"/>
      <c r="D132" s="136"/>
      <c r="E132" s="136"/>
      <c r="F132" s="136"/>
      <c r="G132" s="136"/>
      <c r="H132" s="136"/>
      <c r="I132" s="25"/>
      <c r="J132" s="25"/>
      <c r="K132" s="24"/>
    </row>
    <row r="133" spans="1:11" s="22" customFormat="1" ht="15" customHeight="1" x14ac:dyDescent="0.2">
      <c r="A133" s="123"/>
      <c r="B133" s="467" t="s">
        <v>261</v>
      </c>
      <c r="C133" s="492"/>
      <c r="D133" s="749" t="str">
        <f>IF(E132+F132&gt;IF(D162,D132,C132),"No","Yes")</f>
        <v>Yes</v>
      </c>
      <c r="E133" s="520"/>
      <c r="F133" s="521"/>
      <c r="G133" s="521"/>
      <c r="H133" s="522"/>
      <c r="I133" s="25"/>
      <c r="J133" s="25"/>
      <c r="K133" s="24"/>
    </row>
    <row r="134" spans="1:11" s="22" customFormat="1" ht="15" customHeight="1" x14ac:dyDescent="0.2">
      <c r="A134" s="123"/>
      <c r="B134" s="115" t="s">
        <v>596</v>
      </c>
      <c r="C134" s="142"/>
      <c r="D134" s="136"/>
      <c r="E134" s="523"/>
      <c r="F134" s="524"/>
      <c r="G134" s="524"/>
      <c r="H134" s="525"/>
      <c r="I134" s="25"/>
      <c r="J134" s="25"/>
      <c r="K134" s="24"/>
    </row>
    <row r="135" spans="1:11" s="22" customFormat="1" ht="15" customHeight="1" x14ac:dyDescent="0.2">
      <c r="A135" s="123"/>
      <c r="B135" s="104" t="s">
        <v>58</v>
      </c>
      <c r="C135" s="142"/>
      <c r="D135" s="136"/>
      <c r="E135" s="523"/>
      <c r="F135" s="524"/>
      <c r="G135" s="524"/>
      <c r="H135" s="525"/>
      <c r="I135" s="25"/>
      <c r="J135" s="25"/>
      <c r="K135" s="24"/>
    </row>
    <row r="136" spans="1:11" s="22" customFormat="1" ht="15" customHeight="1" x14ac:dyDescent="0.2">
      <c r="A136" s="123"/>
      <c r="B136" s="145" t="s">
        <v>1019</v>
      </c>
      <c r="C136" s="142"/>
      <c r="D136" s="136"/>
      <c r="E136" s="523"/>
      <c r="F136" s="524"/>
      <c r="G136" s="524"/>
      <c r="H136" s="525"/>
      <c r="I136" s="25"/>
      <c r="J136" s="25"/>
      <c r="K136" s="24"/>
    </row>
    <row r="137" spans="1:11" s="22" customFormat="1" ht="15" customHeight="1" x14ac:dyDescent="0.2">
      <c r="A137" s="123"/>
      <c r="B137" s="153" t="s">
        <v>247</v>
      </c>
      <c r="C137" s="136"/>
      <c r="D137" s="136"/>
      <c r="E137" s="523"/>
      <c r="F137" s="524"/>
      <c r="G137" s="524"/>
      <c r="H137" s="525"/>
      <c r="I137" s="25"/>
      <c r="J137" s="25"/>
      <c r="K137" s="24"/>
    </row>
    <row r="138" spans="1:11" s="22" customFormat="1" ht="15" customHeight="1" x14ac:dyDescent="0.2">
      <c r="A138" s="123"/>
      <c r="B138" s="467" t="s">
        <v>252</v>
      </c>
      <c r="C138" s="492"/>
      <c r="D138" s="749" t="str">
        <f>IF(AND(C137&gt;0,D137=0,D162),"No","Yes")</f>
        <v>Yes</v>
      </c>
      <c r="E138" s="523"/>
      <c r="F138" s="524"/>
      <c r="G138" s="524"/>
      <c r="H138" s="525"/>
      <c r="I138" s="25"/>
      <c r="J138" s="25"/>
      <c r="K138" s="24"/>
    </row>
    <row r="139" spans="1:11" s="22" customFormat="1" ht="15" customHeight="1" x14ac:dyDescent="0.2">
      <c r="A139" s="123"/>
      <c r="B139" s="467" t="s">
        <v>313</v>
      </c>
      <c r="C139" s="749" t="str">
        <f>IF(AND(C136&gt;0,ISNUMBER(C137),OR(C137=0,C137&gt;C136)),"No","Yes")</f>
        <v>Yes</v>
      </c>
      <c r="D139" s="749" t="str">
        <f>IF(AND(D136&gt;0,ISNUMBER(D137),OR(D137=0,D137&gt;D136)),"No","Yes")</f>
        <v>Yes</v>
      </c>
      <c r="E139" s="523"/>
      <c r="F139" s="524"/>
      <c r="G139" s="524"/>
      <c r="H139" s="525"/>
      <c r="I139" s="25"/>
      <c r="J139" s="25"/>
      <c r="K139" s="24"/>
    </row>
    <row r="140" spans="1:11" s="22" customFormat="1" ht="15" customHeight="1" x14ac:dyDescent="0.2">
      <c r="A140" s="123"/>
      <c r="B140" s="153" t="s">
        <v>248</v>
      </c>
      <c r="C140" s="136"/>
      <c r="D140" s="136"/>
      <c r="E140" s="523"/>
      <c r="F140" s="524"/>
      <c r="G140" s="524"/>
      <c r="H140" s="525"/>
      <c r="I140" s="25"/>
      <c r="J140" s="25"/>
      <c r="K140" s="24"/>
    </row>
    <row r="141" spans="1:11" s="22" customFormat="1" ht="15" customHeight="1" x14ac:dyDescent="0.2">
      <c r="A141" s="123"/>
      <c r="B141" s="467" t="s">
        <v>253</v>
      </c>
      <c r="C141" s="518"/>
      <c r="D141" s="749" t="str">
        <f>IF(AND(C140&gt;0,D140=0,D162),"No","Yes")</f>
        <v>Yes</v>
      </c>
      <c r="E141" s="523"/>
      <c r="F141" s="524"/>
      <c r="G141" s="524"/>
      <c r="H141" s="525"/>
      <c r="I141" s="25"/>
      <c r="J141" s="25"/>
      <c r="K141" s="24"/>
    </row>
    <row r="142" spans="1:11" s="22" customFormat="1" ht="15" customHeight="1" x14ac:dyDescent="0.2">
      <c r="A142" s="123"/>
      <c r="B142" s="467" t="s">
        <v>254</v>
      </c>
      <c r="C142" s="519"/>
      <c r="D142" s="749" t="str">
        <f>IF(OR(AND(D137&gt;0,D140=0),AND(D140&gt;0,D137=0)),"No","Yes")</f>
        <v>Yes</v>
      </c>
      <c r="E142" s="523"/>
      <c r="F142" s="524"/>
      <c r="G142" s="524"/>
      <c r="H142" s="525"/>
      <c r="I142" s="25"/>
      <c r="J142" s="25"/>
      <c r="K142" s="24"/>
    </row>
    <row r="143" spans="1:11" s="22" customFormat="1" ht="15" customHeight="1" x14ac:dyDescent="0.2">
      <c r="A143" s="123"/>
      <c r="B143" s="145" t="s">
        <v>1018</v>
      </c>
      <c r="C143" s="142"/>
      <c r="D143" s="136"/>
      <c r="E143" s="523"/>
      <c r="F143" s="524"/>
      <c r="G143" s="524"/>
      <c r="H143" s="525"/>
      <c r="I143" s="25"/>
      <c r="J143" s="25"/>
      <c r="K143" s="24"/>
    </row>
    <row r="144" spans="1:11" s="22" customFormat="1" ht="15" customHeight="1" x14ac:dyDescent="0.2">
      <c r="A144" s="123"/>
      <c r="B144" s="104" t="s">
        <v>91</v>
      </c>
      <c r="C144" s="142"/>
      <c r="D144" s="136"/>
      <c r="E144" s="523"/>
      <c r="F144" s="524"/>
      <c r="G144" s="524"/>
      <c r="H144" s="525"/>
      <c r="I144" s="25"/>
      <c r="J144" s="25"/>
      <c r="K144" s="24"/>
    </row>
    <row r="145" spans="1:11" s="22" customFormat="1" ht="15" customHeight="1" x14ac:dyDescent="0.2">
      <c r="A145" s="123"/>
      <c r="B145" s="104" t="s">
        <v>92</v>
      </c>
      <c r="C145" s="143" t="str">
        <f>IF(AND(ISNUMBER(C146),ISNUMBER(C147),ISNUMBER(C151)),MAX(C146,0.08*C147)+C151,"")</f>
        <v/>
      </c>
      <c r="D145" s="143" t="str">
        <f>IF(AND(ISNUMBER(D146),ISNUMBER(D147),ISNUMBER(D151)),MAX(D146,0.08*D147)+D151,"")</f>
        <v/>
      </c>
      <c r="E145" s="523"/>
      <c r="F145" s="524"/>
      <c r="G145" s="524"/>
      <c r="H145" s="525"/>
      <c r="I145" s="25"/>
      <c r="J145" s="25"/>
      <c r="K145" s="24"/>
    </row>
    <row r="146" spans="1:11" s="22" customFormat="1" ht="15" customHeight="1" x14ac:dyDescent="0.2">
      <c r="A146" s="123"/>
      <c r="B146" s="153" t="s">
        <v>594</v>
      </c>
      <c r="C146" s="142"/>
      <c r="D146" s="136"/>
      <c r="E146" s="526"/>
      <c r="F146" s="527"/>
      <c r="G146" s="527"/>
      <c r="H146" s="528"/>
      <c r="I146" s="25"/>
      <c r="J146" s="25"/>
      <c r="K146" s="24"/>
    </row>
    <row r="147" spans="1:11" s="22" customFormat="1" ht="15" customHeight="1" x14ac:dyDescent="0.2">
      <c r="A147" s="123"/>
      <c r="B147" s="153" t="s">
        <v>122</v>
      </c>
      <c r="C147" s="143" t="str">
        <f>IF(AND(ISNUMBER(C149),ISNUMBER(C150)),MAX(C149,C150),"")</f>
        <v/>
      </c>
      <c r="D147" s="143" t="str">
        <f>IF(AND(ISNUMBER(D149),ISNUMBER(D150)),MAX(D149,D150),"")</f>
        <v/>
      </c>
      <c r="E147" s="136"/>
      <c r="F147" s="136"/>
      <c r="G147" s="136"/>
      <c r="H147" s="136"/>
      <c r="I147" s="25"/>
      <c r="J147" s="25"/>
      <c r="K147" s="24"/>
    </row>
    <row r="148" spans="1:11" s="22" customFormat="1" ht="15" customHeight="1" x14ac:dyDescent="0.2">
      <c r="A148" s="123"/>
      <c r="B148" s="467" t="s">
        <v>261</v>
      </c>
      <c r="C148" s="492"/>
      <c r="D148" s="749" t="str">
        <f>IF(E147+F147&gt;IF(D162,D147,C147),"No","Yes")</f>
        <v>Yes</v>
      </c>
      <c r="E148" s="520"/>
      <c r="F148" s="521"/>
      <c r="G148" s="521"/>
      <c r="H148" s="522"/>
      <c r="I148" s="25"/>
      <c r="J148" s="25"/>
      <c r="K148" s="24"/>
    </row>
    <row r="149" spans="1:11" s="22" customFormat="1" ht="15" customHeight="1" x14ac:dyDescent="0.2">
      <c r="A149" s="123"/>
      <c r="B149" s="154" t="s">
        <v>219</v>
      </c>
      <c r="C149" s="142"/>
      <c r="D149" s="136"/>
      <c r="E149" s="523"/>
      <c r="F149" s="524"/>
      <c r="G149" s="524"/>
      <c r="H149" s="525"/>
      <c r="I149" s="25"/>
      <c r="J149" s="25"/>
      <c r="K149" s="24"/>
    </row>
    <row r="150" spans="1:11" s="22" customFormat="1" ht="15" customHeight="1" x14ac:dyDescent="0.2">
      <c r="A150" s="123"/>
      <c r="B150" s="154" t="s">
        <v>220</v>
      </c>
      <c r="C150" s="142"/>
      <c r="D150" s="136"/>
      <c r="E150" s="526"/>
      <c r="F150" s="527"/>
      <c r="G150" s="527"/>
      <c r="H150" s="528"/>
      <c r="I150" s="25"/>
      <c r="J150" s="25"/>
      <c r="K150" s="24"/>
    </row>
    <row r="151" spans="1:11" s="22" customFormat="1" ht="15" customHeight="1" x14ac:dyDescent="0.2">
      <c r="A151" s="123"/>
      <c r="B151" s="153" t="s">
        <v>120</v>
      </c>
      <c r="C151" s="143" t="str">
        <f>IF(AND(ISNUMBER(C153),ISNUMBER(C154)),MAX(C153,C154),"")</f>
        <v/>
      </c>
      <c r="D151" s="143" t="str">
        <f>IF(AND(ISNUMBER(D153),ISNUMBER(D154)),MAX(D153,D154),"")</f>
        <v/>
      </c>
      <c r="E151" s="136"/>
      <c r="F151" s="136"/>
      <c r="G151" s="136"/>
      <c r="H151" s="136"/>
      <c r="I151" s="25"/>
      <c r="J151" s="25"/>
      <c r="K151" s="24"/>
    </row>
    <row r="152" spans="1:11" s="22" customFormat="1" ht="15" customHeight="1" x14ac:dyDescent="0.2">
      <c r="A152" s="123"/>
      <c r="B152" s="467" t="s">
        <v>261</v>
      </c>
      <c r="C152" s="492"/>
      <c r="D152" s="749" t="str">
        <f>IF(E151+F151&gt;IF(D162,D151,C151),"No","Yes")</f>
        <v>Yes</v>
      </c>
      <c r="E152" s="520"/>
      <c r="F152" s="521"/>
      <c r="G152" s="521"/>
      <c r="H152" s="522"/>
      <c r="I152" s="25"/>
      <c r="J152" s="25"/>
      <c r="K152" s="24"/>
    </row>
    <row r="153" spans="1:11" s="22" customFormat="1" ht="15" customHeight="1" x14ac:dyDescent="0.2">
      <c r="A153" s="123"/>
      <c r="B153" s="154" t="s">
        <v>219</v>
      </c>
      <c r="C153" s="142"/>
      <c r="D153" s="136"/>
      <c r="E153" s="523"/>
      <c r="F153" s="524"/>
      <c r="G153" s="524"/>
      <c r="H153" s="525"/>
      <c r="I153" s="25"/>
      <c r="J153" s="25"/>
      <c r="K153" s="24"/>
    </row>
    <row r="154" spans="1:11" s="22" customFormat="1" ht="15" customHeight="1" x14ac:dyDescent="0.2">
      <c r="A154" s="123"/>
      <c r="B154" s="154" t="s">
        <v>220</v>
      </c>
      <c r="C154" s="142"/>
      <c r="D154" s="136"/>
      <c r="E154" s="526"/>
      <c r="F154" s="527"/>
      <c r="G154" s="527"/>
      <c r="H154" s="528"/>
      <c r="I154" s="25"/>
      <c r="J154" s="25"/>
      <c r="K154" s="24"/>
    </row>
    <row r="155" spans="1:11" s="22" customFormat="1" ht="15" customHeight="1" x14ac:dyDescent="0.2">
      <c r="A155" s="123"/>
      <c r="B155" s="104" t="s">
        <v>121</v>
      </c>
      <c r="C155" s="142"/>
      <c r="D155" s="136"/>
      <c r="E155" s="136"/>
      <c r="F155" s="136"/>
      <c r="G155" s="136"/>
      <c r="H155" s="136"/>
      <c r="I155" s="25"/>
      <c r="J155" s="25"/>
      <c r="K155" s="24"/>
    </row>
    <row r="156" spans="1:11" s="22" customFormat="1" ht="15" customHeight="1" x14ac:dyDescent="0.2">
      <c r="A156" s="123"/>
      <c r="B156" s="467" t="s">
        <v>261</v>
      </c>
      <c r="C156" s="492"/>
      <c r="D156" s="749" t="str">
        <f>IF(E155+F155&gt;IF(D162,D155,C155),"No","Yes")</f>
        <v>Yes</v>
      </c>
      <c r="E156" s="520"/>
      <c r="F156" s="521"/>
      <c r="G156" s="521"/>
      <c r="H156" s="522"/>
      <c r="I156" s="25"/>
      <c r="J156" s="25"/>
      <c r="K156" s="24"/>
    </row>
    <row r="157" spans="1:11" s="22" customFormat="1" ht="15" customHeight="1" x14ac:dyDescent="0.2">
      <c r="A157" s="123"/>
      <c r="B157" s="115" t="s">
        <v>219</v>
      </c>
      <c r="C157" s="142"/>
      <c r="D157" s="136"/>
      <c r="E157" s="523"/>
      <c r="F157" s="524"/>
      <c r="G157" s="524"/>
      <c r="H157" s="525"/>
      <c r="I157" s="25"/>
      <c r="J157" s="25"/>
      <c r="K157" s="24"/>
    </row>
    <row r="158" spans="1:11" s="22" customFormat="1" ht="15" customHeight="1" x14ac:dyDescent="0.2">
      <c r="A158" s="123"/>
      <c r="B158" s="115" t="s">
        <v>225</v>
      </c>
      <c r="C158" s="142"/>
      <c r="D158" s="136"/>
      <c r="E158" s="523"/>
      <c r="F158" s="524"/>
      <c r="G158" s="524"/>
      <c r="H158" s="525"/>
      <c r="I158" s="25"/>
      <c r="J158" s="25"/>
      <c r="K158" s="146"/>
    </row>
    <row r="159" spans="1:11" s="22" customFormat="1" ht="15" customHeight="1" x14ac:dyDescent="0.2">
      <c r="A159" s="123"/>
      <c r="B159" s="104" t="s">
        <v>641</v>
      </c>
      <c r="C159" s="142"/>
      <c r="D159" s="136"/>
      <c r="E159" s="523"/>
      <c r="F159" s="524"/>
      <c r="G159" s="524"/>
      <c r="H159" s="525"/>
      <c r="I159" s="25"/>
      <c r="J159" s="25"/>
      <c r="K159" s="146"/>
    </row>
    <row r="160" spans="1:11" s="22" customFormat="1" ht="15" customHeight="1" x14ac:dyDescent="0.2">
      <c r="A160" s="123"/>
      <c r="B160" s="148" t="s">
        <v>428</v>
      </c>
      <c r="C160" s="142"/>
      <c r="D160" s="136"/>
      <c r="E160" s="523"/>
      <c r="F160" s="524"/>
      <c r="G160" s="524"/>
      <c r="H160" s="525"/>
      <c r="I160" s="25"/>
      <c r="J160" s="25"/>
      <c r="K160" s="146"/>
    </row>
    <row r="161" spans="1:11" s="22" customFormat="1" ht="15" customHeight="1" x14ac:dyDescent="0.2">
      <c r="A161" s="123"/>
      <c r="B161" s="147" t="s">
        <v>598</v>
      </c>
      <c r="C161" s="143" t="str">
        <f>IF(AND(ISNUMBER(C130),ISNUMBER(C131),ISNUMBER(C135),ISNUMBER(C136),ISNUMBER(C143),ISNUMBER(C144),ISNUMBER(C145),ISNUMBER(C155),ISNUMBER(C159),ISNUMBER(C160)),C130+C131+C135+C136+C143+C144+C145+C155+C159+C160,"")</f>
        <v/>
      </c>
      <c r="D161" s="143" t="str">
        <f>IF(D162, IF(AND(ISNUMBER(D130),ISNUMBER(D131),ISNUMBER(D135),ISNUMBER(D136),ISNUMBER(D143),ISNUMBER(D144),ISNUMBER(D145),ISNUMBER(D155),ISNUMBER(D159),ISNUMBER(D160)),D130+D131+D135+D136+D143+D144+D145+D155+D159+D160,""), C161)</f>
        <v/>
      </c>
      <c r="E161" s="526"/>
      <c r="F161" s="527"/>
      <c r="G161" s="527"/>
      <c r="H161" s="528"/>
      <c r="I161" s="25"/>
      <c r="J161" s="25"/>
      <c r="K161" s="146"/>
    </row>
    <row r="162" spans="1:11" ht="45" customHeight="1" x14ac:dyDescent="0.25">
      <c r="A162" s="44" t="s">
        <v>300</v>
      </c>
      <c r="B162" s="33"/>
      <c r="C162" s="34"/>
      <c r="D162" s="493" t="b">
        <f>OR(ISNUMBER(D130),ISNUMBER(D131),ISNUMBER(D135),ISNUMBER(D136),ISNUMBER(D143),ISNUMBER(D144),ISNUMBER(D145),ISNUMBER(D155),ISNUMBER(D159),ISNUMBER(D160))</f>
        <v>0</v>
      </c>
      <c r="E162" s="50"/>
      <c r="F162" s="50"/>
      <c r="G162" s="50"/>
      <c r="H162" s="50"/>
      <c r="I162" s="25"/>
      <c r="J162" s="25"/>
      <c r="K162" s="54"/>
    </row>
    <row r="163" spans="1:11" s="22" customFormat="1" ht="15" customHeight="1" x14ac:dyDescent="0.2">
      <c r="A163" s="123"/>
      <c r="B163" s="23"/>
      <c r="C163" s="58" t="s">
        <v>194</v>
      </c>
      <c r="D163" s="25"/>
      <c r="E163" s="25"/>
      <c r="F163" s="25"/>
      <c r="G163" s="25"/>
      <c r="H163" s="25"/>
      <c r="I163" s="25"/>
      <c r="J163" s="25"/>
      <c r="K163" s="24"/>
    </row>
    <row r="164" spans="1:11" s="22" customFormat="1" ht="15" customHeight="1" x14ac:dyDescent="0.2">
      <c r="A164" s="123"/>
      <c r="B164" s="9" t="s">
        <v>600</v>
      </c>
      <c r="C164" s="142"/>
      <c r="D164" s="25"/>
      <c r="E164" s="25"/>
      <c r="F164" s="25"/>
      <c r="G164" s="25"/>
      <c r="H164" s="25"/>
      <c r="I164" s="25"/>
      <c r="J164" s="25"/>
      <c r="K164" s="24"/>
    </row>
    <row r="165" spans="1:11" s="22" customFormat="1" ht="15" customHeight="1" x14ac:dyDescent="0.2">
      <c r="A165" s="123"/>
      <c r="B165" s="9" t="s">
        <v>601</v>
      </c>
      <c r="C165" s="142"/>
      <c r="D165" s="25"/>
      <c r="E165" s="25"/>
      <c r="F165" s="25"/>
      <c r="G165" s="25"/>
      <c r="H165" s="25"/>
      <c r="I165" s="25"/>
      <c r="J165" s="25"/>
      <c r="K165" s="24"/>
    </row>
    <row r="166" spans="1:11" ht="45" customHeight="1" x14ac:dyDescent="0.25">
      <c r="A166" s="44" t="s">
        <v>672</v>
      </c>
      <c r="B166" s="33"/>
      <c r="C166" s="34"/>
      <c r="D166" s="50"/>
      <c r="E166" s="50"/>
      <c r="F166" s="50"/>
      <c r="G166" s="50"/>
      <c r="H166" s="50"/>
      <c r="I166" s="50"/>
      <c r="J166" s="50"/>
      <c r="K166" s="45"/>
    </row>
    <row r="167" spans="1:11" ht="30" customHeight="1" x14ac:dyDescent="0.25">
      <c r="A167" s="44" t="s">
        <v>298</v>
      </c>
      <c r="B167" s="33"/>
      <c r="C167" s="34"/>
      <c r="D167" s="50"/>
      <c r="E167" s="50"/>
      <c r="F167" s="50"/>
      <c r="G167" s="50"/>
      <c r="H167" s="50"/>
      <c r="I167" s="50"/>
      <c r="J167" s="50"/>
      <c r="K167" s="54"/>
    </row>
    <row r="168" spans="1:11" s="22" customFormat="1" ht="15" customHeight="1" x14ac:dyDescent="0.2">
      <c r="A168" s="123"/>
      <c r="B168" s="23"/>
      <c r="C168" s="80" t="s">
        <v>194</v>
      </c>
      <c r="D168" s="25"/>
      <c r="E168" s="25"/>
      <c r="F168" s="25"/>
      <c r="G168" s="25"/>
      <c r="H168" s="25"/>
      <c r="I168" s="25"/>
      <c r="J168" s="25"/>
      <c r="K168" s="24"/>
    </row>
    <row r="169" spans="1:11" s="22" customFormat="1" ht="15" customHeight="1" x14ac:dyDescent="0.2">
      <c r="A169" s="123"/>
      <c r="B169" s="148" t="s">
        <v>581</v>
      </c>
      <c r="C169" s="142"/>
      <c r="D169" s="25"/>
      <c r="E169" s="25"/>
      <c r="F169" s="25"/>
      <c r="G169" s="25"/>
      <c r="H169" s="25"/>
      <c r="I169" s="25"/>
      <c r="J169" s="25"/>
      <c r="K169" s="24"/>
    </row>
    <row r="170" spans="1:11" s="22" customFormat="1" ht="15" customHeight="1" x14ac:dyDescent="0.2">
      <c r="A170" s="123"/>
      <c r="B170" s="148" t="s">
        <v>367</v>
      </c>
      <c r="C170" s="142"/>
      <c r="D170" s="25"/>
      <c r="E170" s="25"/>
      <c r="F170" s="25"/>
      <c r="G170" s="25"/>
      <c r="H170" s="25"/>
      <c r="I170" s="25"/>
      <c r="J170" s="25"/>
      <c r="K170" s="24"/>
    </row>
    <row r="171" spans="1:11" s="22" customFormat="1" ht="15" customHeight="1" x14ac:dyDescent="0.2">
      <c r="A171" s="123"/>
      <c r="B171" s="148" t="s">
        <v>632</v>
      </c>
      <c r="C171" s="142"/>
      <c r="D171" s="25"/>
      <c r="E171" s="25"/>
      <c r="F171" s="25"/>
      <c r="G171" s="25"/>
      <c r="H171" s="25"/>
      <c r="I171" s="25"/>
      <c r="J171" s="25"/>
      <c r="K171" s="24"/>
    </row>
    <row r="172" spans="1:11" s="22" customFormat="1" ht="15" customHeight="1" x14ac:dyDescent="0.2">
      <c r="A172" s="123"/>
      <c r="B172" s="148" t="s">
        <v>368</v>
      </c>
      <c r="C172" s="142"/>
      <c r="D172" s="25"/>
      <c r="E172" s="25"/>
      <c r="F172" s="25"/>
      <c r="G172" s="25"/>
      <c r="H172" s="25"/>
      <c r="I172" s="25"/>
      <c r="J172" s="25"/>
      <c r="K172" s="24"/>
    </row>
    <row r="173" spans="1:11" s="22" customFormat="1" ht="15" customHeight="1" x14ac:dyDescent="0.2">
      <c r="A173" s="123"/>
      <c r="B173" s="97" t="s">
        <v>597</v>
      </c>
      <c r="C173" s="143" t="str">
        <f>IF(AND(ISNUMBER(C169),ISNUMBER(C170),ISNUMBER(C171),ISNUMBER(C172)),SUM(C169:C172),"")</f>
        <v/>
      </c>
      <c r="D173" s="25"/>
      <c r="E173" s="25"/>
      <c r="F173" s="25"/>
      <c r="G173" s="25"/>
      <c r="H173" s="25"/>
      <c r="I173" s="25"/>
      <c r="J173" s="25"/>
      <c r="K173" s="24"/>
    </row>
    <row r="174" spans="1:11" ht="45" customHeight="1" x14ac:dyDescent="0.25">
      <c r="A174" s="44" t="s">
        <v>299</v>
      </c>
      <c r="B174" s="33"/>
      <c r="C174" s="34"/>
      <c r="D174" s="50"/>
      <c r="E174" s="50"/>
      <c r="F174" s="50"/>
      <c r="G174" s="50"/>
      <c r="H174" s="50"/>
      <c r="I174" s="50"/>
      <c r="J174" s="50"/>
      <c r="K174" s="54"/>
    </row>
    <row r="175" spans="1:11" s="22" customFormat="1" ht="15" customHeight="1" x14ac:dyDescent="0.2">
      <c r="A175" s="123"/>
      <c r="B175" s="124"/>
      <c r="C175" s="58" t="s">
        <v>194</v>
      </c>
      <c r="D175" s="25"/>
      <c r="E175" s="25"/>
      <c r="F175" s="25"/>
      <c r="G175" s="25"/>
      <c r="H175" s="25"/>
      <c r="I175" s="25"/>
      <c r="J175" s="25"/>
      <c r="K175" s="24"/>
    </row>
    <row r="176" spans="1:11" s="22" customFormat="1" ht="15" customHeight="1" x14ac:dyDescent="0.2">
      <c r="A176" s="144"/>
      <c r="B176" s="129" t="s">
        <v>179</v>
      </c>
      <c r="C176" s="142"/>
      <c r="D176" s="25"/>
      <c r="E176" s="25"/>
      <c r="F176" s="25"/>
      <c r="G176" s="25"/>
      <c r="H176" s="25"/>
      <c r="I176" s="25"/>
      <c r="J176" s="25"/>
      <c r="K176" s="24"/>
    </row>
    <row r="177" spans="1:11" s="22" customFormat="1" ht="15" customHeight="1" x14ac:dyDescent="0.2">
      <c r="A177" s="144"/>
      <c r="B177" s="23"/>
      <c r="C177" s="23"/>
      <c r="D177" s="25"/>
      <c r="E177" s="25"/>
      <c r="F177" s="25"/>
      <c r="G177" s="25"/>
      <c r="H177" s="25"/>
      <c r="I177" s="25"/>
      <c r="J177" s="25"/>
      <c r="K177" s="24"/>
    </row>
    <row r="178" spans="1:11" s="22" customFormat="1" ht="15" customHeight="1" x14ac:dyDescent="0.2">
      <c r="A178" s="144"/>
      <c r="B178" s="124"/>
      <c r="C178" s="149" t="s">
        <v>655</v>
      </c>
      <c r="D178" s="25"/>
      <c r="E178" s="25"/>
      <c r="F178" s="25"/>
      <c r="G178" s="25"/>
      <c r="H178" s="25"/>
      <c r="I178" s="25"/>
      <c r="J178" s="25"/>
      <c r="K178" s="24"/>
    </row>
    <row r="179" spans="1:11" s="22" customFormat="1" ht="15" customHeight="1" x14ac:dyDescent="0.2">
      <c r="A179" s="144"/>
      <c r="B179" s="129" t="s">
        <v>88</v>
      </c>
      <c r="C179" s="423"/>
      <c r="D179" s="25"/>
      <c r="E179" s="25"/>
      <c r="F179" s="25"/>
      <c r="G179" s="25"/>
      <c r="H179" s="25"/>
      <c r="I179" s="25"/>
      <c r="J179" s="25"/>
      <c r="K179" s="24"/>
    </row>
    <row r="180" spans="1:11" s="22" customFormat="1" ht="15" customHeight="1" x14ac:dyDescent="0.2">
      <c r="A180" s="144"/>
      <c r="B180" s="129" t="s">
        <v>673</v>
      </c>
      <c r="C180" s="423"/>
      <c r="D180" s="25"/>
      <c r="E180" s="25"/>
      <c r="F180" s="25"/>
      <c r="G180" s="25"/>
      <c r="H180" s="25"/>
      <c r="I180" s="25"/>
      <c r="J180" s="25"/>
      <c r="K180" s="24"/>
    </row>
    <row r="181" spans="1:11" s="22" customFormat="1" ht="15" customHeight="1" x14ac:dyDescent="0.2">
      <c r="A181" s="144"/>
      <c r="B181" s="129" t="s">
        <v>674</v>
      </c>
      <c r="C181" s="423"/>
      <c r="D181" s="25"/>
      <c r="E181" s="25"/>
      <c r="F181" s="25"/>
      <c r="G181" s="25"/>
      <c r="H181" s="25"/>
      <c r="I181" s="25"/>
      <c r="J181" s="25"/>
      <c r="K181" s="24"/>
    </row>
    <row r="182" spans="1:11" s="22" customFormat="1" ht="15" customHeight="1" x14ac:dyDescent="0.2">
      <c r="A182" s="144"/>
      <c r="B182" s="129" t="s">
        <v>675</v>
      </c>
      <c r="C182" s="424"/>
      <c r="D182" s="25"/>
      <c r="E182" s="25"/>
      <c r="F182" s="25"/>
      <c r="G182" s="25"/>
      <c r="H182" s="25"/>
      <c r="I182" s="25"/>
      <c r="J182" s="25"/>
      <c r="K182" s="24"/>
    </row>
    <row r="183" spans="1:11" ht="45" customHeight="1" x14ac:dyDescent="0.25">
      <c r="A183" s="44" t="s">
        <v>761</v>
      </c>
      <c r="B183" s="33"/>
      <c r="C183" s="34"/>
      <c r="D183" s="50"/>
      <c r="E183" s="50"/>
      <c r="F183" s="50"/>
      <c r="G183" s="50"/>
      <c r="H183" s="50"/>
      <c r="I183" s="50"/>
      <c r="J183" s="50"/>
      <c r="K183" s="456"/>
    </row>
    <row r="184" spans="1:11" s="22" customFormat="1" ht="15" customHeight="1" x14ac:dyDescent="0.25">
      <c r="A184" s="144"/>
      <c r="B184" s="201"/>
      <c r="C184" s="34"/>
      <c r="D184" s="25"/>
      <c r="E184" s="25"/>
      <c r="F184" s="25"/>
      <c r="G184" s="25"/>
      <c r="H184" s="25"/>
      <c r="I184" s="25"/>
      <c r="J184" s="25"/>
      <c r="K184" s="457"/>
    </row>
    <row r="185" spans="1:11" s="22" customFormat="1" ht="15" customHeight="1" x14ac:dyDescent="0.2">
      <c r="A185" s="144"/>
      <c r="B185" s="129" t="s">
        <v>510</v>
      </c>
      <c r="C185" s="454"/>
      <c r="D185" s="25"/>
      <c r="E185" s="25"/>
      <c r="F185" s="25"/>
      <c r="G185" s="25"/>
      <c r="H185" s="25"/>
      <c r="I185" s="25"/>
      <c r="J185" s="25"/>
      <c r="K185" s="457"/>
    </row>
    <row r="186" spans="1:11" s="22" customFormat="1" ht="15" customHeight="1" x14ac:dyDescent="0.2">
      <c r="A186" s="144"/>
      <c r="B186" s="129" t="s">
        <v>511</v>
      </c>
      <c r="C186" s="454"/>
      <c r="D186" s="25"/>
      <c r="E186" s="25"/>
      <c r="F186" s="25"/>
      <c r="G186" s="25"/>
      <c r="H186" s="25"/>
      <c r="I186" s="25"/>
      <c r="J186" s="25"/>
      <c r="K186" s="457"/>
    </row>
    <row r="187" spans="1:11" s="22" customFormat="1" ht="15" customHeight="1" x14ac:dyDescent="0.2">
      <c r="A187" s="144"/>
      <c r="B187" s="129" t="s">
        <v>512</v>
      </c>
      <c r="C187" s="454"/>
      <c r="D187" s="25"/>
      <c r="E187" s="25"/>
      <c r="F187" s="25"/>
      <c r="G187" s="25"/>
      <c r="H187" s="25"/>
      <c r="I187" s="25"/>
      <c r="J187" s="25"/>
      <c r="K187" s="457"/>
    </row>
    <row r="188" spans="1:11" s="22" customFormat="1" ht="15" customHeight="1" x14ac:dyDescent="0.2">
      <c r="A188" s="144"/>
      <c r="B188" s="147" t="s">
        <v>513</v>
      </c>
      <c r="C188" s="194" t="str">
        <f>IF(AND(ISNUMBER(C185),ISNUMBER(C186),ISNUMBER(C187)),SUM(C185:C187),"")</f>
        <v/>
      </c>
      <c r="D188" s="25"/>
      <c r="E188" s="25"/>
      <c r="F188" s="25"/>
      <c r="G188" s="25"/>
      <c r="H188" s="25"/>
      <c r="I188" s="25"/>
      <c r="J188" s="25"/>
      <c r="K188" s="457"/>
    </row>
    <row r="189" spans="1:11" s="22" customFormat="1" ht="15" customHeight="1" x14ac:dyDescent="0.2">
      <c r="A189" s="144"/>
      <c r="B189" s="201"/>
      <c r="C189" s="447"/>
      <c r="D189" s="25"/>
      <c r="E189" s="25"/>
      <c r="F189" s="25"/>
      <c r="G189" s="25"/>
      <c r="H189" s="25"/>
      <c r="I189" s="25"/>
      <c r="J189" s="25"/>
      <c r="K189" s="457"/>
    </row>
    <row r="190" spans="1:11" s="22" customFormat="1" ht="15" customHeight="1" x14ac:dyDescent="0.2">
      <c r="A190" s="144"/>
      <c r="B190" s="129" t="s">
        <v>514</v>
      </c>
      <c r="C190" s="454"/>
      <c r="D190" s="25"/>
      <c r="E190" s="25"/>
      <c r="F190" s="25"/>
      <c r="G190" s="25"/>
      <c r="H190" s="25"/>
      <c r="I190" s="25"/>
      <c r="J190" s="25"/>
      <c r="K190" s="457"/>
    </row>
    <row r="191" spans="1:11" s="22" customFormat="1" ht="15" customHeight="1" x14ac:dyDescent="0.2">
      <c r="A191" s="144"/>
      <c r="B191" s="109" t="s">
        <v>783</v>
      </c>
      <c r="C191" s="454"/>
      <c r="D191" s="25"/>
      <c r="E191" s="25"/>
      <c r="F191" s="25"/>
      <c r="G191" s="25"/>
      <c r="H191" s="25"/>
      <c r="I191" s="25"/>
      <c r="J191" s="25"/>
      <c r="K191" s="457"/>
    </row>
    <row r="192" spans="1:11" s="22" customFormat="1" ht="15" customHeight="1" x14ac:dyDescent="0.2">
      <c r="A192" s="144"/>
      <c r="B192" s="185" t="s">
        <v>621</v>
      </c>
      <c r="C192" s="454"/>
      <c r="D192" s="25"/>
      <c r="E192" s="25"/>
      <c r="F192" s="25"/>
      <c r="G192" s="25"/>
      <c r="H192" s="25"/>
      <c r="I192" s="25"/>
      <c r="J192" s="25"/>
      <c r="K192" s="457"/>
    </row>
    <row r="193" spans="1:11" s="22" customFormat="1" ht="15" customHeight="1" x14ac:dyDescent="0.2">
      <c r="A193" s="144"/>
      <c r="B193" s="185" t="s">
        <v>669</v>
      </c>
      <c r="C193" s="454"/>
      <c r="D193" s="25"/>
      <c r="E193" s="25"/>
      <c r="F193" s="25"/>
      <c r="G193" s="25"/>
      <c r="H193" s="25"/>
      <c r="I193" s="25"/>
      <c r="J193" s="25"/>
      <c r="K193" s="457"/>
    </row>
    <row r="194" spans="1:11" s="22" customFormat="1" ht="15" customHeight="1" x14ac:dyDescent="0.2">
      <c r="A194" s="144"/>
      <c r="B194" s="185" t="s">
        <v>623</v>
      </c>
      <c r="C194" s="454"/>
      <c r="D194" s="25"/>
      <c r="E194" s="25"/>
      <c r="F194" s="25"/>
      <c r="G194" s="25"/>
      <c r="H194" s="25"/>
      <c r="I194" s="25"/>
      <c r="J194" s="25"/>
      <c r="K194" s="457"/>
    </row>
    <row r="195" spans="1:11" s="22" customFormat="1" ht="15" customHeight="1" x14ac:dyDescent="0.2">
      <c r="A195" s="144"/>
      <c r="B195" s="491" t="str">
        <f>CONCATENATE("Check: EAD in row ", ROW(C191), " should equal total EAD in row ", ROW(G123), ".")</f>
        <v>Check: EAD in row 191 should equal total EAD in row 123.</v>
      </c>
      <c r="C195" s="749" t="str">
        <f>IF(AND(ISNUMBER(G123), ISNUMBER(H123), ISNUMBER(C191), G123+H123&lt;&gt;C191),"No","Yes")</f>
        <v>Yes</v>
      </c>
      <c r="D195" s="25"/>
      <c r="E195" s="25"/>
      <c r="F195" s="25"/>
      <c r="G195" s="25"/>
      <c r="H195" s="25"/>
      <c r="I195" s="25"/>
      <c r="J195" s="25"/>
      <c r="K195" s="457"/>
    </row>
    <row r="196" spans="1:11" s="22" customFormat="1" ht="15" customHeight="1" x14ac:dyDescent="0.2">
      <c r="A196" s="144"/>
      <c r="B196" s="491" t="str">
        <f>CONCATENATE("Check: EAD in rows ", ROW(C192), " to ", ROW(C194), " should add up to EAD in row ", ROW(C191), ".")</f>
        <v>Check: EAD in rows 192 to 194 should add up to EAD in row 191.</v>
      </c>
      <c r="C196" s="749" t="str">
        <f>IF(AND(ISNUMBER(C191),ISNUMBER(C192), ISNUMBER(C193), ISNUMBER(C194), SUM(C192:C194)&lt;&gt;C191),"No","Yes")</f>
        <v>Yes</v>
      </c>
      <c r="D196" s="25"/>
      <c r="E196" s="25"/>
      <c r="F196" s="25"/>
      <c r="G196" s="25"/>
      <c r="H196" s="25"/>
      <c r="I196" s="25"/>
      <c r="J196" s="25"/>
      <c r="K196" s="457"/>
    </row>
    <row r="197" spans="1:11" s="22" customFormat="1" ht="15" customHeight="1" x14ac:dyDescent="0.2">
      <c r="A197" s="144"/>
      <c r="B197" s="147" t="s">
        <v>515</v>
      </c>
      <c r="C197" s="194" t="str">
        <f>IF(AND(ISNUMBER(C190),ISNUMBER(C191)),SUM(C190:C191),"")</f>
        <v/>
      </c>
      <c r="D197" s="25"/>
      <c r="E197" s="25"/>
      <c r="F197" s="25"/>
      <c r="G197" s="25"/>
      <c r="H197" s="25"/>
      <c r="I197" s="25"/>
      <c r="J197" s="25"/>
      <c r="K197" s="457"/>
    </row>
    <row r="198" spans="1:11" s="22" customFormat="1" ht="15" customHeight="1" x14ac:dyDescent="0.2">
      <c r="A198" s="144"/>
      <c r="B198" s="201"/>
      <c r="C198" s="447"/>
      <c r="D198" s="25"/>
      <c r="E198" s="25"/>
      <c r="F198" s="25"/>
      <c r="G198" s="25"/>
      <c r="H198" s="25"/>
      <c r="I198" s="25"/>
      <c r="J198" s="25"/>
      <c r="K198" s="457"/>
    </row>
    <row r="199" spans="1:11" s="22" customFormat="1" ht="15" customHeight="1" x14ac:dyDescent="0.2">
      <c r="A199" s="144"/>
      <c r="B199" s="150" t="s">
        <v>177</v>
      </c>
      <c r="C199" s="454"/>
      <c r="D199" s="25"/>
      <c r="E199" s="25"/>
      <c r="F199" s="25"/>
      <c r="G199" s="25"/>
      <c r="H199" s="25"/>
      <c r="I199" s="25"/>
      <c r="J199" s="25"/>
      <c r="K199" s="457"/>
    </row>
    <row r="200" spans="1:11" s="22" customFormat="1" ht="15" customHeight="1" x14ac:dyDescent="0.2">
      <c r="A200" s="144"/>
      <c r="B200" s="150" t="s">
        <v>516</v>
      </c>
      <c r="C200" s="454"/>
      <c r="D200" s="25"/>
      <c r="E200" s="25"/>
      <c r="F200" s="25"/>
      <c r="G200" s="25"/>
      <c r="H200" s="25"/>
      <c r="I200" s="25"/>
      <c r="J200" s="25"/>
      <c r="K200" s="457"/>
    </row>
    <row r="201" spans="1:11" s="22" customFormat="1" ht="15" customHeight="1" x14ac:dyDescent="0.25">
      <c r="A201" s="144"/>
      <c r="B201" s="201"/>
      <c r="C201" s="34"/>
      <c r="D201" s="25"/>
      <c r="E201" s="25"/>
      <c r="F201" s="25"/>
      <c r="G201" s="25"/>
      <c r="H201" s="25"/>
      <c r="I201" s="25"/>
      <c r="J201" s="25"/>
      <c r="K201" s="457"/>
    </row>
    <row r="202" spans="1:11" s="22" customFormat="1" ht="15" customHeight="1" x14ac:dyDescent="0.25">
      <c r="A202" s="144"/>
      <c r="B202" s="150" t="s">
        <v>176</v>
      </c>
      <c r="C202" s="454"/>
      <c r="D202" s="34"/>
      <c r="E202" s="25"/>
      <c r="F202" s="25"/>
      <c r="G202" s="25"/>
      <c r="H202" s="25"/>
      <c r="I202" s="25"/>
      <c r="J202" s="25"/>
      <c r="K202" s="457"/>
    </row>
    <row r="203" spans="1:11" s="22" customFormat="1" ht="15" customHeight="1" x14ac:dyDescent="0.25">
      <c r="A203" s="144"/>
      <c r="B203" s="150" t="s">
        <v>175</v>
      </c>
      <c r="C203" s="454"/>
      <c r="D203" s="34"/>
      <c r="E203" s="25"/>
      <c r="F203" s="25"/>
      <c r="G203" s="25"/>
      <c r="H203" s="25"/>
      <c r="I203" s="25"/>
      <c r="J203" s="25"/>
      <c r="K203" s="457"/>
    </row>
    <row r="204" spans="1:11" s="22" customFormat="1" ht="15" customHeight="1" x14ac:dyDescent="0.25">
      <c r="A204" s="144"/>
      <c r="B204" s="150" t="s">
        <v>534</v>
      </c>
      <c r="C204" s="472"/>
      <c r="D204" s="34"/>
      <c r="E204" s="25"/>
      <c r="F204" s="25"/>
      <c r="G204" s="25"/>
      <c r="H204" s="25"/>
      <c r="I204" s="25"/>
      <c r="J204" s="25"/>
      <c r="K204" s="457"/>
    </row>
    <row r="205" spans="1:11" s="22" customFormat="1" ht="15" customHeight="1" x14ac:dyDescent="0.25">
      <c r="A205" s="144"/>
      <c r="B205" s="150" t="s">
        <v>535</v>
      </c>
      <c r="C205" s="472"/>
      <c r="D205" s="34"/>
      <c r="E205" s="25"/>
      <c r="F205" s="25"/>
      <c r="G205" s="25"/>
      <c r="H205" s="25"/>
      <c r="I205" s="25"/>
      <c r="J205" s="25"/>
      <c r="K205" s="457"/>
    </row>
    <row r="206" spans="1:11" s="22" customFormat="1" ht="15" customHeight="1" x14ac:dyDescent="0.25">
      <c r="A206" s="144"/>
      <c r="B206" s="201"/>
      <c r="C206" s="34"/>
      <c r="D206" s="34"/>
      <c r="E206" s="25"/>
      <c r="F206" s="25"/>
      <c r="G206" s="25"/>
      <c r="H206" s="25"/>
      <c r="I206" s="25"/>
      <c r="J206" s="25"/>
      <c r="K206" s="457"/>
    </row>
    <row r="207" spans="1:11" s="22" customFormat="1" ht="15" customHeight="1" x14ac:dyDescent="0.25">
      <c r="A207" s="144"/>
      <c r="B207" s="490" t="s">
        <v>422</v>
      </c>
      <c r="C207" s="454"/>
      <c r="D207" s="34"/>
      <c r="E207" s="25"/>
      <c r="F207" s="25"/>
      <c r="G207" s="25"/>
      <c r="H207" s="25"/>
      <c r="I207" s="25"/>
      <c r="J207" s="25"/>
      <c r="K207" s="457"/>
    </row>
    <row r="208" spans="1:11" s="22" customFormat="1" ht="15" customHeight="1" x14ac:dyDescent="0.25">
      <c r="A208" s="144"/>
      <c r="B208" s="150" t="s">
        <v>518</v>
      </c>
      <c r="C208" s="454"/>
      <c r="D208" s="34"/>
      <c r="E208" s="25"/>
      <c r="F208" s="25"/>
      <c r="G208" s="25"/>
      <c r="H208" s="25"/>
      <c r="I208" s="25"/>
      <c r="J208" s="25"/>
      <c r="K208" s="457"/>
    </row>
    <row r="209" spans="1:12" s="22" customFormat="1" ht="15" customHeight="1" x14ac:dyDescent="0.25">
      <c r="A209" s="144"/>
      <c r="B209" s="150" t="s">
        <v>519</v>
      </c>
      <c r="C209" s="454"/>
      <c r="D209" s="34"/>
      <c r="E209" s="25"/>
      <c r="F209" s="25"/>
      <c r="G209" s="25"/>
      <c r="H209" s="25"/>
      <c r="I209" s="25"/>
      <c r="J209" s="25"/>
      <c r="K209" s="457"/>
    </row>
    <row r="210" spans="1:12" s="22" customFormat="1" ht="15" customHeight="1" x14ac:dyDescent="0.25">
      <c r="A210" s="144"/>
      <c r="B210" s="490" t="s">
        <v>423</v>
      </c>
      <c r="C210" s="454"/>
      <c r="D210" s="34"/>
      <c r="E210" s="25"/>
      <c r="F210" s="25"/>
      <c r="G210" s="25"/>
      <c r="H210" s="25"/>
      <c r="I210" s="25"/>
      <c r="J210" s="25"/>
      <c r="K210" s="457"/>
    </row>
    <row r="211" spans="1:12" s="22" customFormat="1" ht="15" customHeight="1" x14ac:dyDescent="0.25">
      <c r="A211" s="144"/>
      <c r="B211" s="147" t="s">
        <v>424</v>
      </c>
      <c r="C211" s="194" t="str">
        <f>IF(AND(ISNUMBER(C207),ISNUMBER(C210)),SUM(C207:C210),"")</f>
        <v/>
      </c>
      <c r="D211" s="34"/>
      <c r="E211" s="25"/>
      <c r="F211" s="25"/>
      <c r="G211" s="25"/>
      <c r="H211" s="25"/>
      <c r="I211" s="25"/>
      <c r="J211" s="25"/>
      <c r="K211" s="457"/>
    </row>
    <row r="212" spans="1:12" s="22" customFormat="1" ht="15" customHeight="1" x14ac:dyDescent="0.25">
      <c r="A212" s="144"/>
      <c r="B212" s="491" t="str">
        <f>CONCATENATE("Check: total EAD in row ", ROW(C211), " should equal total EAD in row ", ROW(C197), ".")</f>
        <v>Check: total EAD in row 211 should equal total EAD in row 197.</v>
      </c>
      <c r="C212" s="749" t="str">
        <f>IF(C197=C211,"Yes","No")</f>
        <v>Yes</v>
      </c>
      <c r="D212" s="34"/>
      <c r="E212" s="25"/>
      <c r="F212" s="25"/>
      <c r="G212" s="25"/>
      <c r="H212" s="25"/>
      <c r="I212" s="25"/>
      <c r="J212" s="25"/>
      <c r="K212" s="457"/>
    </row>
    <row r="213" spans="1:12" s="22" customFormat="1" ht="15" customHeight="1" x14ac:dyDescent="0.25">
      <c r="A213" s="144"/>
      <c r="C213" s="34"/>
      <c r="D213" s="34"/>
      <c r="E213" s="25"/>
      <c r="F213" s="25"/>
      <c r="G213" s="25"/>
      <c r="H213" s="25"/>
      <c r="I213" s="25"/>
      <c r="J213" s="25"/>
      <c r="K213" s="457"/>
    </row>
    <row r="214" spans="1:12" s="22" customFormat="1" ht="15" customHeight="1" x14ac:dyDescent="0.25">
      <c r="A214" s="144"/>
      <c r="B214" s="448" t="s">
        <v>537</v>
      </c>
      <c r="C214" s="34"/>
      <c r="D214" s="34"/>
      <c r="E214" s="25"/>
      <c r="F214" s="25"/>
      <c r="G214" s="25"/>
      <c r="H214" s="25"/>
      <c r="I214" s="25"/>
      <c r="J214" s="25"/>
      <c r="K214" s="457"/>
    </row>
    <row r="215" spans="1:12" s="22" customFormat="1" ht="15" customHeight="1" x14ac:dyDescent="0.25">
      <c r="A215" s="144"/>
      <c r="B215" s="150" t="s">
        <v>536</v>
      </c>
      <c r="C215" s="130" t="s">
        <v>196</v>
      </c>
      <c r="D215" s="34"/>
      <c r="E215" s="25"/>
      <c r="F215" s="25"/>
      <c r="G215" s="25"/>
      <c r="H215" s="25"/>
      <c r="I215" s="25"/>
      <c r="J215" s="25"/>
      <c r="K215" s="457"/>
    </row>
    <row r="216" spans="1:12" ht="45" customHeight="1" x14ac:dyDescent="0.25">
      <c r="A216" s="33" t="s">
        <v>1051</v>
      </c>
      <c r="B216" s="33"/>
      <c r="C216" s="34"/>
      <c r="D216" s="50"/>
      <c r="E216" s="50"/>
      <c r="F216" s="50"/>
      <c r="G216" s="50"/>
      <c r="H216" s="50"/>
      <c r="I216" s="50"/>
      <c r="J216" s="50"/>
      <c r="K216" s="456"/>
      <c r="L216" s="711"/>
    </row>
    <row r="217" spans="1:12" s="22" customFormat="1" ht="15" customHeight="1" x14ac:dyDescent="0.25">
      <c r="A217" s="144"/>
      <c r="B217" s="448"/>
      <c r="C217" s="34"/>
      <c r="D217" s="25"/>
      <c r="E217" s="25"/>
      <c r="F217" s="25"/>
      <c r="G217" s="25"/>
      <c r="H217" s="25"/>
      <c r="I217" s="25"/>
      <c r="K217" s="457"/>
      <c r="L217" s="748"/>
    </row>
    <row r="218" spans="1:12" s="22" customFormat="1" ht="15" customHeight="1" x14ac:dyDescent="0.2">
      <c r="A218" s="144"/>
      <c r="B218" s="448" t="s">
        <v>1042</v>
      </c>
      <c r="C218" s="58" t="s">
        <v>1043</v>
      </c>
      <c r="D218" s="58" t="s">
        <v>194</v>
      </c>
      <c r="E218" s="25"/>
      <c r="F218" s="25"/>
      <c r="G218" s="25"/>
      <c r="H218" s="25"/>
      <c r="I218" s="25"/>
      <c r="K218" s="457"/>
      <c r="L218" s="748"/>
    </row>
    <row r="219" spans="1:12" s="22" customFormat="1" ht="15" customHeight="1" x14ac:dyDescent="0.2">
      <c r="A219" s="144"/>
      <c r="B219" s="490" t="s">
        <v>1052</v>
      </c>
      <c r="C219" s="751" t="str">
        <f>IF(AND(ISNUMBER(C220),ISNUMBER(C221),ISNUMBER(C222),ISNUMBER(C223)),SUM(C220:C223),"")</f>
        <v/>
      </c>
      <c r="D219" s="751" t="str">
        <f>IF(AND(ISNUMBER(D220),ISNUMBER(D221),ISNUMBER(D222),ISNUMBER(D223)),SUM(D220:D223),"")</f>
        <v/>
      </c>
      <c r="E219" s="25"/>
      <c r="F219" s="25"/>
      <c r="G219" s="25"/>
      <c r="H219" s="25"/>
      <c r="I219" s="25"/>
      <c r="K219" s="457"/>
      <c r="L219" s="748"/>
    </row>
    <row r="220" spans="1:12" s="22" customFormat="1" ht="15" customHeight="1" x14ac:dyDescent="0.2">
      <c r="A220" s="144"/>
      <c r="B220" s="746" t="s">
        <v>1044</v>
      </c>
      <c r="C220" s="454"/>
      <c r="D220" s="454"/>
      <c r="E220" s="25"/>
      <c r="F220" s="25"/>
      <c r="G220" s="25"/>
      <c r="H220" s="25"/>
      <c r="I220" s="25"/>
      <c r="K220" s="457"/>
      <c r="L220" s="748"/>
    </row>
    <row r="221" spans="1:12" s="22" customFormat="1" ht="15" customHeight="1" x14ac:dyDescent="0.2">
      <c r="A221" s="144"/>
      <c r="B221" s="746" t="s">
        <v>1045</v>
      </c>
      <c r="C221" s="454"/>
      <c r="D221" s="454"/>
      <c r="E221" s="25"/>
      <c r="F221" s="25"/>
      <c r="G221" s="25"/>
      <c r="H221" s="25"/>
      <c r="I221" s="25"/>
      <c r="K221" s="457"/>
      <c r="L221" s="748"/>
    </row>
    <row r="222" spans="1:12" s="22" customFormat="1" ht="15" customHeight="1" x14ac:dyDescent="0.2">
      <c r="A222" s="144"/>
      <c r="B222" s="746" t="s">
        <v>1046</v>
      </c>
      <c r="C222" s="454"/>
      <c r="D222" s="454"/>
      <c r="E222" s="25"/>
      <c r="F222" s="25"/>
      <c r="G222" s="25"/>
      <c r="H222" s="25"/>
      <c r="I222" s="25"/>
      <c r="K222" s="457"/>
      <c r="L222" s="748"/>
    </row>
    <row r="223" spans="1:12" s="22" customFormat="1" ht="15" customHeight="1" x14ac:dyDescent="0.2">
      <c r="A223" s="144"/>
      <c r="B223" s="746" t="s">
        <v>1047</v>
      </c>
      <c r="C223" s="454"/>
      <c r="D223" s="454"/>
      <c r="E223" s="25"/>
      <c r="F223" s="25"/>
      <c r="G223" s="25"/>
      <c r="H223" s="25"/>
      <c r="I223" s="25"/>
      <c r="K223" s="457"/>
      <c r="L223" s="748"/>
    </row>
    <row r="224" spans="1:12" s="22" customFormat="1" ht="15" customHeight="1" x14ac:dyDescent="0.2">
      <c r="A224" s="144"/>
      <c r="B224" s="201"/>
      <c r="C224" s="747"/>
      <c r="D224" s="747"/>
      <c r="E224" s="25"/>
      <c r="F224" s="25"/>
      <c r="G224" s="25"/>
      <c r="H224" s="25"/>
      <c r="I224" s="25"/>
      <c r="K224" s="457"/>
      <c r="L224" s="748"/>
    </row>
    <row r="225" spans="1:12" s="22" customFormat="1" ht="15" customHeight="1" x14ac:dyDescent="0.2">
      <c r="A225" s="144"/>
      <c r="B225" s="490" t="s">
        <v>1048</v>
      </c>
      <c r="C225" s="454"/>
      <c r="D225" s="454"/>
      <c r="E225" s="25"/>
      <c r="F225" s="25"/>
      <c r="G225" s="25"/>
      <c r="H225" s="25"/>
      <c r="I225" s="25"/>
      <c r="K225" s="457"/>
      <c r="L225" s="748"/>
    </row>
    <row r="226" spans="1:12" s="22" customFormat="1" ht="15" customHeight="1" x14ac:dyDescent="0.2">
      <c r="A226" s="144"/>
      <c r="B226" s="25"/>
      <c r="C226" s="747"/>
      <c r="D226" s="747"/>
      <c r="E226" s="25"/>
      <c r="F226" s="25"/>
      <c r="G226" s="25"/>
      <c r="H226" s="25"/>
      <c r="I226" s="25"/>
      <c r="K226" s="457"/>
      <c r="L226" s="748"/>
    </row>
    <row r="227" spans="1:12" s="22" customFormat="1" ht="15" customHeight="1" x14ac:dyDescent="0.2">
      <c r="A227" s="144"/>
      <c r="B227" s="448" t="s">
        <v>1049</v>
      </c>
      <c r="C227" s="747"/>
      <c r="D227" s="747"/>
      <c r="E227" s="25"/>
      <c r="F227" s="25"/>
      <c r="G227" s="25"/>
      <c r="H227" s="25"/>
      <c r="I227" s="25"/>
      <c r="K227" s="457"/>
      <c r="L227" s="748"/>
    </row>
    <row r="228" spans="1:12" s="22" customFormat="1" ht="15" customHeight="1" x14ac:dyDescent="0.2">
      <c r="A228" s="144"/>
      <c r="B228" s="490" t="s">
        <v>1052</v>
      </c>
      <c r="C228" s="751" t="str">
        <f>IF(AND(ISNUMBER(C229),ISNUMBER(C230),ISNUMBER(C231),ISNUMBER(C232)),SUM(C229:C232),"")</f>
        <v/>
      </c>
      <c r="D228" s="656"/>
      <c r="E228" s="25"/>
      <c r="F228" s="25"/>
      <c r="G228" s="25"/>
      <c r="H228" s="25"/>
      <c r="I228" s="25"/>
      <c r="K228" s="457"/>
      <c r="L228" s="748"/>
    </row>
    <row r="229" spans="1:12" s="22" customFormat="1" ht="15" customHeight="1" x14ac:dyDescent="0.2">
      <c r="A229" s="144"/>
      <c r="B229" s="746" t="s">
        <v>1044</v>
      </c>
      <c r="C229" s="454"/>
      <c r="D229" s="656"/>
      <c r="E229" s="25"/>
      <c r="F229" s="25"/>
      <c r="G229" s="25"/>
      <c r="H229" s="25"/>
      <c r="I229" s="25"/>
      <c r="K229" s="457"/>
      <c r="L229" s="748"/>
    </row>
    <row r="230" spans="1:12" s="22" customFormat="1" ht="15" customHeight="1" x14ac:dyDescent="0.2">
      <c r="A230" s="144"/>
      <c r="B230" s="746" t="s">
        <v>1045</v>
      </c>
      <c r="C230" s="454"/>
      <c r="D230" s="656"/>
      <c r="E230" s="25"/>
      <c r="F230" s="25"/>
      <c r="G230" s="25"/>
      <c r="H230" s="25"/>
      <c r="I230" s="25"/>
      <c r="K230" s="457"/>
      <c r="L230" s="748"/>
    </row>
    <row r="231" spans="1:12" s="22" customFormat="1" ht="15" customHeight="1" x14ac:dyDescent="0.2">
      <c r="A231" s="144"/>
      <c r="B231" s="746" t="s">
        <v>1046</v>
      </c>
      <c r="C231" s="454"/>
      <c r="D231" s="656"/>
      <c r="E231" s="25"/>
      <c r="F231" s="25"/>
      <c r="G231" s="25"/>
      <c r="H231" s="25"/>
      <c r="I231" s="25"/>
      <c r="K231" s="457"/>
      <c r="L231" s="748"/>
    </row>
    <row r="232" spans="1:12" s="22" customFormat="1" ht="15" customHeight="1" x14ac:dyDescent="0.2">
      <c r="A232" s="144"/>
      <c r="B232" s="746" t="s">
        <v>1047</v>
      </c>
      <c r="C232" s="454"/>
      <c r="D232" s="656"/>
      <c r="E232" s="25"/>
      <c r="F232" s="25"/>
      <c r="G232" s="25"/>
      <c r="H232" s="25"/>
      <c r="I232" s="25"/>
      <c r="K232" s="457"/>
      <c r="L232" s="748"/>
    </row>
    <row r="233" spans="1:12" s="22" customFormat="1" ht="15" customHeight="1" x14ac:dyDescent="0.2">
      <c r="A233" s="144"/>
      <c r="B233" s="201"/>
      <c r="C233" s="747"/>
      <c r="D233" s="747"/>
      <c r="E233" s="25"/>
      <c r="F233" s="25"/>
      <c r="G233" s="25"/>
      <c r="H233" s="25"/>
      <c r="I233" s="25"/>
      <c r="K233" s="457"/>
      <c r="L233" s="748"/>
    </row>
    <row r="234" spans="1:12" s="22" customFormat="1" ht="15" customHeight="1" x14ac:dyDescent="0.2">
      <c r="A234" s="144"/>
      <c r="B234" s="490" t="s">
        <v>1048</v>
      </c>
      <c r="C234" s="454"/>
      <c r="D234" s="656"/>
      <c r="E234" s="25"/>
      <c r="F234" s="25"/>
      <c r="G234" s="25"/>
      <c r="H234" s="25"/>
      <c r="I234" s="25"/>
      <c r="K234" s="457"/>
      <c r="L234" s="748"/>
    </row>
    <row r="235" spans="1:12" s="22" customFormat="1" ht="15" customHeight="1" x14ac:dyDescent="0.2">
      <c r="A235" s="144"/>
      <c r="B235" s="448"/>
      <c r="C235" s="747"/>
      <c r="D235" s="747"/>
      <c r="E235" s="25"/>
      <c r="F235" s="25"/>
      <c r="G235" s="25"/>
      <c r="H235" s="25"/>
      <c r="I235" s="25"/>
      <c r="K235" s="457"/>
      <c r="L235" s="748"/>
    </row>
    <row r="236" spans="1:12" s="22" customFormat="1" ht="15" customHeight="1" x14ac:dyDescent="0.2">
      <c r="A236" s="144"/>
      <c r="B236" s="490" t="s">
        <v>1050</v>
      </c>
      <c r="C236" s="656"/>
      <c r="D236" s="454"/>
      <c r="E236" s="25"/>
      <c r="F236" s="25"/>
      <c r="G236" s="25"/>
      <c r="H236" s="25"/>
      <c r="I236" s="25"/>
      <c r="K236" s="457"/>
      <c r="L236" s="748"/>
    </row>
    <row r="237" spans="1:12" s="22" customFormat="1" ht="15" customHeight="1" x14ac:dyDescent="0.2">
      <c r="A237" s="144"/>
      <c r="C237" s="25"/>
      <c r="D237" s="25"/>
      <c r="E237" s="25"/>
      <c r="F237" s="25"/>
      <c r="G237" s="25"/>
      <c r="H237" s="25"/>
      <c r="I237" s="25"/>
      <c r="K237" s="457"/>
      <c r="L237" s="748"/>
    </row>
    <row r="238" spans="1:12" s="22" customFormat="1" ht="15" customHeight="1" x14ac:dyDescent="0.2">
      <c r="A238" s="144"/>
      <c r="B238" s="491" t="str">
        <f>CONCATENATE("Check: total RWA for QCCPs should equal total RWA in row ", ROW(F113))</f>
        <v>Check: total RWA for QCCPs should equal total RWA in row 113</v>
      </c>
      <c r="C238" s="656"/>
      <c r="D238" s="749" t="str">
        <f>IF(AND(ISNUMBER(D219),ISNUMBER(D225),ISNUMBER(D236),SUM(D219,D225,D236)&lt;&gt;F113),"No","Yes")</f>
        <v>Yes</v>
      </c>
      <c r="E238" s="25"/>
      <c r="F238" s="25"/>
      <c r="G238" s="25"/>
      <c r="H238" s="25"/>
      <c r="I238" s="25"/>
      <c r="K238" s="457"/>
      <c r="L238" s="748"/>
    </row>
    <row r="239" spans="1:12" ht="45" customHeight="1" x14ac:dyDescent="0.25">
      <c r="A239" s="44" t="s">
        <v>575</v>
      </c>
      <c r="B239" s="33"/>
      <c r="C239" s="34"/>
      <c r="D239" s="50"/>
      <c r="E239" s="25"/>
      <c r="F239" s="50"/>
      <c r="G239" s="50"/>
      <c r="H239" s="50"/>
      <c r="I239" s="50"/>
      <c r="J239" s="50"/>
      <c r="K239" s="54"/>
    </row>
    <row r="240" spans="1:12" s="22" customFormat="1" ht="15" customHeight="1" x14ac:dyDescent="0.2">
      <c r="A240" s="123"/>
      <c r="B240" s="124"/>
      <c r="C240" s="23"/>
      <c r="D240" s="25"/>
      <c r="E240" s="25"/>
      <c r="F240" s="25"/>
      <c r="G240" s="25"/>
      <c r="H240" s="25"/>
      <c r="I240" s="25"/>
      <c r="J240" s="25"/>
      <c r="K240" s="24"/>
    </row>
    <row r="241" spans="1:11" s="22" customFormat="1" ht="15" customHeight="1" x14ac:dyDescent="0.2">
      <c r="A241" s="123"/>
      <c r="B241" s="124"/>
      <c r="C241" s="803" t="s">
        <v>194</v>
      </c>
      <c r="D241" s="804"/>
      <c r="E241" s="25"/>
      <c r="F241" s="25"/>
      <c r="G241" s="25"/>
      <c r="H241" s="25"/>
      <c r="I241" s="25"/>
      <c r="J241" s="25"/>
      <c r="K241" s="24"/>
    </row>
    <row r="242" spans="1:11" s="22" customFormat="1" ht="45" customHeight="1" x14ac:dyDescent="0.2">
      <c r="A242" s="144"/>
      <c r="B242" s="23"/>
      <c r="C242" s="149" t="s">
        <v>374</v>
      </c>
      <c r="D242" s="149" t="s">
        <v>573</v>
      </c>
      <c r="E242" s="25"/>
      <c r="F242" s="25"/>
      <c r="G242" s="25"/>
      <c r="H242" s="25"/>
      <c r="I242" s="25"/>
      <c r="J242" s="25"/>
      <c r="K242" s="24"/>
    </row>
    <row r="243" spans="1:11" s="22" customFormat="1" ht="15" customHeight="1" x14ac:dyDescent="0.2">
      <c r="A243" s="144"/>
      <c r="B243" s="150" t="s">
        <v>572</v>
      </c>
      <c r="C243" s="492"/>
      <c r="D243" s="194" t="str">
        <f>IF(ISNUMBER(DefCapB3!D24),DefCapB3!D24,"")</f>
        <v/>
      </c>
      <c r="E243" s="25"/>
      <c r="F243" s="25"/>
      <c r="G243" s="25"/>
      <c r="H243" s="25"/>
      <c r="I243" s="25"/>
      <c r="J243" s="25"/>
      <c r="K243" s="24"/>
    </row>
    <row r="244" spans="1:11" s="22" customFormat="1" ht="15" customHeight="1" x14ac:dyDescent="0.2">
      <c r="A244" s="123"/>
      <c r="B244" s="150" t="s">
        <v>676</v>
      </c>
      <c r="C244" s="151" t="str">
        <f>IF(AND(ISNUMBER(C124),ISNUMBER(C161),ISNUMBER(C164),ISNUMBER(C165),OR(ISNUMBER(C173),C33="Yes")),C124+12.5*C161+C164+C165+C173,"")</f>
        <v/>
      </c>
      <c r="D244" s="151" t="str">
        <f>IF(AND(ISNUMBER(F124),ISNUMBER(D161),ISNUMBER(C164),ISNUMBER(C165),ISNUMBER(D243),OR(ISNUMBER(C173),C33="Yes")),F124+12.5*D161+C164+C165+C173+D243,"")</f>
        <v/>
      </c>
      <c r="E244" s="25"/>
      <c r="F244" s="25"/>
      <c r="G244" s="25"/>
      <c r="H244" s="25"/>
      <c r="I244" s="25"/>
      <c r="J244" s="25"/>
      <c r="K244" s="24"/>
    </row>
    <row r="245" spans="1:11" s="22" customFormat="1" ht="15" customHeight="1" x14ac:dyDescent="0.2">
      <c r="A245" s="144"/>
      <c r="B245" s="23"/>
      <c r="C245" s="23"/>
      <c r="D245" s="25"/>
      <c r="E245" s="25"/>
      <c r="F245" s="25"/>
      <c r="G245" s="25"/>
      <c r="H245" s="25"/>
      <c r="I245" s="25"/>
      <c r="J245" s="25"/>
      <c r="K245" s="24"/>
    </row>
    <row r="246" spans="1:11" s="22" customFormat="1" ht="15" customHeight="1" x14ac:dyDescent="0.2">
      <c r="A246" s="123"/>
      <c r="B246" s="805"/>
      <c r="C246" s="803" t="s">
        <v>655</v>
      </c>
      <c r="D246" s="804"/>
      <c r="E246" s="25"/>
      <c r="F246" s="25"/>
      <c r="G246" s="25"/>
      <c r="H246" s="25"/>
      <c r="I246" s="25"/>
      <c r="J246" s="25"/>
      <c r="K246" s="24"/>
    </row>
    <row r="247" spans="1:11" s="22" customFormat="1" ht="30" customHeight="1" x14ac:dyDescent="0.2">
      <c r="A247" s="123"/>
      <c r="B247" s="806"/>
      <c r="C247" s="807" t="s">
        <v>374</v>
      </c>
      <c r="D247" s="807" t="s">
        <v>573</v>
      </c>
      <c r="E247" s="25"/>
      <c r="F247" s="25"/>
      <c r="G247" s="25"/>
      <c r="H247" s="25"/>
      <c r="I247" s="25"/>
      <c r="J247" s="25"/>
      <c r="K247" s="24"/>
    </row>
    <row r="248" spans="1:11" s="22" customFormat="1" ht="15" customHeight="1" x14ac:dyDescent="0.2">
      <c r="A248" s="123"/>
      <c r="B248" s="422" t="s">
        <v>574</v>
      </c>
      <c r="C248" s="808"/>
      <c r="D248" s="808"/>
      <c r="E248" s="25"/>
      <c r="F248" s="25"/>
      <c r="G248" s="25"/>
      <c r="H248" s="25"/>
      <c r="I248" s="25"/>
      <c r="J248" s="25"/>
      <c r="K248" s="24"/>
    </row>
    <row r="249" spans="1:11" s="22" customFormat="1" ht="15" customHeight="1" x14ac:dyDescent="0.2">
      <c r="A249" s="123"/>
      <c r="B249" s="184" t="s">
        <v>38</v>
      </c>
      <c r="C249" s="374" t="str">
        <f>IF(AND(ISNUMBER(C44),ISNUMBER(C244)),C44/C244,"")</f>
        <v/>
      </c>
      <c r="D249" s="374" t="str">
        <f>IF(AND(ISNUMBER(D44),ISNUMBER(D244)),D44/D244,"")</f>
        <v/>
      </c>
      <c r="E249" s="25"/>
      <c r="F249" s="25"/>
      <c r="G249" s="25"/>
      <c r="H249" s="25"/>
      <c r="I249" s="25"/>
      <c r="J249" s="25"/>
      <c r="K249" s="24"/>
    </row>
    <row r="250" spans="1:11" s="22" customFormat="1" ht="15" customHeight="1" x14ac:dyDescent="0.2">
      <c r="A250" s="123"/>
      <c r="B250" s="184" t="s">
        <v>39</v>
      </c>
      <c r="C250" s="374" t="str">
        <f>IF(AND(ISNUMBER(C51),ISNUMBER(C244)),C51/C244,"")</f>
        <v/>
      </c>
      <c r="D250" s="374" t="str">
        <f>IF(AND(ISNUMBER(D51),ISNUMBER(D244)),D51/D244,"")</f>
        <v/>
      </c>
      <c r="E250" s="25"/>
      <c r="F250" s="25"/>
      <c r="G250" s="25"/>
      <c r="H250" s="25"/>
      <c r="I250" s="25"/>
      <c r="J250" s="25"/>
      <c r="K250" s="24"/>
    </row>
    <row r="251" spans="1:11" s="22" customFormat="1" ht="15" customHeight="1" x14ac:dyDescent="0.2">
      <c r="A251" s="123"/>
      <c r="B251" s="184" t="s">
        <v>118</v>
      </c>
      <c r="C251" s="374" t="str">
        <f>IF(AND(ISNUMBER(C43),ISNUMBER(C244)),C43/C244,"")</f>
        <v/>
      </c>
      <c r="D251" s="374" t="str">
        <f>IF(AND(ISNUMBER(D43),ISNUMBER(D244)),D43/D244,"")</f>
        <v/>
      </c>
      <c r="E251" s="25"/>
      <c r="F251" s="25"/>
      <c r="G251" s="25"/>
      <c r="H251" s="25"/>
      <c r="I251" s="25"/>
      <c r="J251" s="25"/>
      <c r="K251" s="24"/>
    </row>
    <row r="252" spans="1:11" s="22" customFormat="1" ht="15" customHeight="1" x14ac:dyDescent="0.2">
      <c r="A252" s="152"/>
      <c r="B252" s="138"/>
      <c r="C252" s="138"/>
      <c r="D252" s="132"/>
      <c r="E252" s="132"/>
      <c r="F252" s="132"/>
      <c r="G252" s="132"/>
      <c r="H252" s="132"/>
      <c r="I252" s="132"/>
      <c r="J252" s="132"/>
      <c r="K252" s="199"/>
    </row>
  </sheetData>
  <customSheetViews>
    <customSheetView guid="{15489521-78C1-4B59-8BC9-AACD7EBC6362}" scale="75" showPageBreaks="1" printArea="1" showRuler="0">
      <selection activeCell="F11" sqref="F11"/>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53E8D147-A870-4F3F-BF63-24587CEF7636}" scale="75" showPageBreaks="1" printArea="1" showRuler="0" topLeftCell="A13">
      <selection activeCell="C34" sqref="C34"/>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7608A575-AD39-4DFE-B654-965E0A886A86}" scale="75" showPageBreaks="1" printArea="1" showRuler="0" topLeftCell="A10">
      <rowBreaks count="3" manualBreakCount="3">
        <brk id="26" max="9" man="1"/>
        <brk id="68" max="9" man="1"/>
        <brk id="68"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s>
  <mergeCells count="26">
    <mergeCell ref="L113:L115"/>
    <mergeCell ref="H111:J111"/>
    <mergeCell ref="C118:E118"/>
    <mergeCell ref="C110:E110"/>
    <mergeCell ref="G127:H127"/>
    <mergeCell ref="F118:I118"/>
    <mergeCell ref="H119:I119"/>
    <mergeCell ref="C111:C112"/>
    <mergeCell ref="F111:F112"/>
    <mergeCell ref="C119:C120"/>
    <mergeCell ref="F119:F120"/>
    <mergeCell ref="E5:I30"/>
    <mergeCell ref="E32:I36"/>
    <mergeCell ref="C241:D241"/>
    <mergeCell ref="C246:D246"/>
    <mergeCell ref="B246:B247"/>
    <mergeCell ref="C247:C248"/>
    <mergeCell ref="D247:D248"/>
    <mergeCell ref="C128:C129"/>
    <mergeCell ref="C127:F127"/>
    <mergeCell ref="D128:H128"/>
    <mergeCell ref="H84:J84"/>
    <mergeCell ref="F83:J83"/>
    <mergeCell ref="C84:G84"/>
    <mergeCell ref="C83:E83"/>
    <mergeCell ref="F110:J110"/>
  </mergeCells>
  <phoneticPr fontId="8" type="noConversion"/>
  <conditionalFormatting sqref="C164:C165 C169:C172 C176 E151:H151 C149:D150 C146:D146 C185:C187 C179:C182 C143:D144 E147:H147 C140:D140 C134:D137 E132:H132 C130:D132 C153:D155 C157:D160 E155:H155 C199:C200 C107:E107 C122:C123 F122:F123 C45 E106:J106 F101:G101 C91:E92 E97:E104 C97:C104 D97:D106 C106 E87:E89 C87:D87 C89:D89 D88 C48 C56 C73:C75 C66:C71 C53 H94:J94 G97:J97 G98:G100 F97:F98 C94:G95 F92:G92 F91:J91 F89:G89 C190:C194 F87:J87 C202:C205 C207:C210 H123:I123">
    <cfRule type="cellIs" dxfId="245" priority="66" stopIfTrue="1" operator="lessThan">
      <formula>0</formula>
    </cfRule>
  </conditionalFormatting>
  <conditionalFormatting sqref="D45 D48 D53">
    <cfRule type="cellIs" dxfId="244" priority="60" stopIfTrue="1" operator="lessThan">
      <formula>0</formula>
    </cfRule>
  </conditionalFormatting>
  <conditionalFormatting sqref="D114:D116">
    <cfRule type="cellIs" dxfId="243" priority="37" stopIfTrue="1" operator="lessThan">
      <formula>0</formula>
    </cfRule>
  </conditionalFormatting>
  <conditionalFormatting sqref="F114:F115">
    <cfRule type="cellIs" dxfId="242" priority="36" stopIfTrue="1" operator="lessThan">
      <formula>0</formula>
    </cfRule>
  </conditionalFormatting>
  <conditionalFormatting sqref="H114:J114">
    <cfRule type="cellIs" dxfId="241" priority="35" stopIfTrue="1" operator="lessThan">
      <formula>0</formula>
    </cfRule>
  </conditionalFormatting>
  <conditionalFormatting sqref="C114:C115">
    <cfRule type="cellIs" dxfId="240" priority="34" stopIfTrue="1" operator="lessThan">
      <formula>0</formula>
    </cfRule>
  </conditionalFormatting>
  <conditionalFormatting sqref="C219:C223">
    <cfRule type="cellIs" dxfId="239" priority="33" stopIfTrue="1" operator="lessThan">
      <formula>0</formula>
    </cfRule>
  </conditionalFormatting>
  <conditionalFormatting sqref="C228">
    <cfRule type="cellIs" dxfId="238" priority="31" stopIfTrue="1" operator="lessThan">
      <formula>0</formula>
    </cfRule>
  </conditionalFormatting>
  <conditionalFormatting sqref="C225">
    <cfRule type="cellIs" dxfId="237" priority="32" stopIfTrue="1" operator="lessThan">
      <formula>0</formula>
    </cfRule>
  </conditionalFormatting>
  <conditionalFormatting sqref="D219:D223">
    <cfRule type="cellIs" dxfId="236" priority="30" stopIfTrue="1" operator="lessThan">
      <formula>0</formula>
    </cfRule>
  </conditionalFormatting>
  <conditionalFormatting sqref="D225">
    <cfRule type="cellIs" dxfId="235" priority="29" stopIfTrue="1" operator="lessThan">
      <formula>0</formula>
    </cfRule>
  </conditionalFormatting>
  <conditionalFormatting sqref="D238">
    <cfRule type="cellIs" dxfId="234" priority="19" stopIfTrue="1" operator="equal">
      <formula>"No"</formula>
    </cfRule>
  </conditionalFormatting>
  <conditionalFormatting sqref="C212">
    <cfRule type="cellIs" dxfId="233" priority="17" stopIfTrue="1" operator="equal">
      <formula>"No"</formula>
    </cfRule>
  </conditionalFormatting>
  <conditionalFormatting sqref="C196">
    <cfRule type="cellIs" dxfId="232" priority="16" stopIfTrue="1" operator="equal">
      <formula>"No"</formula>
    </cfRule>
  </conditionalFormatting>
  <conditionalFormatting sqref="C195">
    <cfRule type="cellIs" dxfId="231" priority="15" stopIfTrue="1" operator="equal">
      <formula>"No"</formula>
    </cfRule>
  </conditionalFormatting>
  <conditionalFormatting sqref="D133">
    <cfRule type="cellIs" dxfId="230" priority="14" stopIfTrue="1" operator="equal">
      <formula>"No"</formula>
    </cfRule>
  </conditionalFormatting>
  <conditionalFormatting sqref="D138:D139">
    <cfRule type="cellIs" dxfId="229" priority="13" stopIfTrue="1" operator="equal">
      <formula>"No"</formula>
    </cfRule>
  </conditionalFormatting>
  <conditionalFormatting sqref="C139">
    <cfRule type="cellIs" dxfId="228" priority="12" stopIfTrue="1" operator="equal">
      <formula>"No"</formula>
    </cfRule>
  </conditionalFormatting>
  <conditionalFormatting sqref="D141:D142">
    <cfRule type="cellIs" dxfId="227" priority="11" stopIfTrue="1" operator="equal">
      <formula>"No"</formula>
    </cfRule>
  </conditionalFormatting>
  <conditionalFormatting sqref="D148">
    <cfRule type="cellIs" dxfId="226" priority="10" stopIfTrue="1" operator="equal">
      <formula>"No"</formula>
    </cfRule>
  </conditionalFormatting>
  <conditionalFormatting sqref="D152">
    <cfRule type="cellIs" dxfId="225" priority="9" stopIfTrue="1" operator="equal">
      <formula>"No"</formula>
    </cfRule>
  </conditionalFormatting>
  <conditionalFormatting sqref="D156">
    <cfRule type="cellIs" dxfId="224" priority="8" stopIfTrue="1" operator="equal">
      <formula>"No"</formula>
    </cfRule>
  </conditionalFormatting>
  <conditionalFormatting sqref="C50">
    <cfRule type="cellIs" dxfId="223" priority="7" stopIfTrue="1" operator="equal">
      <formula>"No"</formula>
    </cfRule>
  </conditionalFormatting>
  <conditionalFormatting sqref="C55">
    <cfRule type="cellIs" dxfId="222" priority="6" stopIfTrue="1" operator="equal">
      <formula>"No"</formula>
    </cfRule>
  </conditionalFormatting>
  <conditionalFormatting sqref="C229:C232">
    <cfRule type="cellIs" dxfId="221" priority="5" stopIfTrue="1" operator="lessThan">
      <formula>0</formula>
    </cfRule>
  </conditionalFormatting>
  <conditionalFormatting sqref="C234">
    <cfRule type="cellIs" dxfId="220" priority="3" stopIfTrue="1" operator="lessThan">
      <formula>0</formula>
    </cfRule>
  </conditionalFormatting>
  <conditionalFormatting sqref="D236">
    <cfRule type="cellIs" dxfId="219" priority="1" stopIfTrue="1" operator="lessThan">
      <formula>0</formula>
    </cfRule>
  </conditionalFormatting>
  <dataValidations count="6">
    <dataValidation type="list" showInputMessage="1" showErrorMessage="1" sqref="C21:C26 C33:C36 C8:C11 C215">
      <formula1>YesNo</formula1>
    </dataValidation>
    <dataValidation type="list" showInputMessage="1" showErrorMessage="1" sqref="C30">
      <formula1>Accounting</formula1>
    </dataValidation>
    <dataValidation type="list" allowBlank="1" showInputMessage="1" showErrorMessage="1" sqref="C13">
      <formula1>Group</formula1>
    </dataValidation>
    <dataValidation type="list" showInputMessage="1" showErrorMessage="1" sqref="C12">
      <formula1>BankType</formula1>
    </dataValidation>
    <dataValidation type="list" allowBlank="1" showInputMessage="1" showErrorMessage="1" sqref="C14">
      <formula1>BankTypeNumeric</formula1>
    </dataValidation>
    <dataValidation type="list" showInputMessage="1" showErrorMessage="1" sqref="C216:C217">
      <formula1>Test1</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5" manualBreakCount="5">
    <brk id="37" max="7" man="1"/>
    <brk id="76" max="11" man="1"/>
    <brk id="124" max="7" man="1"/>
    <brk id="165" max="7" man="1"/>
    <brk id="21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3"/>
  </sheetPr>
  <dimension ref="A1:E252"/>
  <sheetViews>
    <sheetView zoomScale="75" zoomScaleNormal="75" workbookViewId="0"/>
  </sheetViews>
  <sheetFormatPr defaultColWidth="8.85546875" defaultRowHeight="15" customHeight="1" x14ac:dyDescent="0.2"/>
  <cols>
    <col min="1" max="1" width="1.7109375" customWidth="1"/>
    <col min="2" max="2" width="10.7109375" customWidth="1"/>
    <col min="3" max="3" width="200.7109375" customWidth="1"/>
    <col min="4" max="4" width="16.7109375" customWidth="1"/>
    <col min="5" max="5" width="1.7109375" customWidth="1"/>
  </cols>
  <sheetData>
    <row r="1" spans="1:5" ht="30" customHeight="1" x14ac:dyDescent="0.4">
      <c r="A1" s="62" t="s">
        <v>226</v>
      </c>
      <c r="B1" s="72"/>
      <c r="C1" s="63"/>
      <c r="D1" s="187"/>
      <c r="E1" s="59"/>
    </row>
    <row r="2" spans="1:5" s="122" customFormat="1" ht="30" customHeight="1" x14ac:dyDescent="0.25">
      <c r="A2" s="52" t="s">
        <v>457</v>
      </c>
      <c r="B2" s="119"/>
      <c r="C2" s="120"/>
      <c r="D2" s="120"/>
      <c r="E2" s="121"/>
    </row>
    <row r="3" spans="1:5" s="122" customFormat="1" ht="15" customHeight="1" x14ac:dyDescent="0.25">
      <c r="A3" s="376"/>
      <c r="B3" s="190"/>
      <c r="C3" s="191"/>
      <c r="D3" s="191"/>
      <c r="E3" s="192"/>
    </row>
    <row r="4" spans="1:5" s="122" customFormat="1" ht="15" customHeight="1" x14ac:dyDescent="0.25">
      <c r="A4" s="376"/>
      <c r="B4" s="193" t="s">
        <v>495</v>
      </c>
      <c r="C4" s="191"/>
      <c r="D4" s="191"/>
      <c r="E4" s="192"/>
    </row>
    <row r="5" spans="1:5" s="22" customFormat="1" ht="15" customHeight="1" x14ac:dyDescent="0.2">
      <c r="A5" s="26"/>
      <c r="B5" s="23"/>
      <c r="C5" s="23"/>
      <c r="D5" s="23"/>
      <c r="E5" s="24"/>
    </row>
    <row r="6" spans="1:5" s="22" customFormat="1" ht="15" customHeight="1" x14ac:dyDescent="0.2">
      <c r="A6" s="26"/>
      <c r="B6" s="23"/>
      <c r="C6" s="23"/>
      <c r="D6" s="21" t="s">
        <v>194</v>
      </c>
      <c r="E6" s="24"/>
    </row>
    <row r="7" spans="1:5" s="22" customFormat="1" ht="15" customHeight="1" x14ac:dyDescent="0.2">
      <c r="A7" s="26"/>
      <c r="B7" s="11"/>
      <c r="C7" s="9" t="s">
        <v>79</v>
      </c>
      <c r="D7" s="377"/>
      <c r="E7" s="24"/>
    </row>
    <row r="8" spans="1:5" s="22" customFormat="1" ht="15" customHeight="1" x14ac:dyDescent="0.2">
      <c r="A8" s="26"/>
      <c r="B8" s="8"/>
      <c r="C8" s="9" t="s">
        <v>229</v>
      </c>
      <c r="D8" s="377"/>
      <c r="E8" s="24"/>
    </row>
    <row r="9" spans="1:5" s="22" customFormat="1" ht="15" customHeight="1" x14ac:dyDescent="0.2">
      <c r="A9" s="26"/>
      <c r="B9" s="8"/>
      <c r="C9" s="9" t="s">
        <v>190</v>
      </c>
      <c r="D9" s="377"/>
      <c r="E9" s="24"/>
    </row>
    <row r="10" spans="1:5" s="22" customFormat="1" ht="15" customHeight="1" x14ac:dyDescent="0.2">
      <c r="A10" s="26"/>
      <c r="B10" s="8"/>
      <c r="C10" s="9" t="s">
        <v>82</v>
      </c>
      <c r="D10" s="377"/>
      <c r="E10" s="24"/>
    </row>
    <row r="11" spans="1:5" s="22" customFormat="1" ht="15" customHeight="1" x14ac:dyDescent="0.2">
      <c r="A11" s="26"/>
      <c r="B11" s="8"/>
      <c r="C11" s="9" t="s">
        <v>566</v>
      </c>
      <c r="D11" s="377"/>
      <c r="E11" s="24"/>
    </row>
    <row r="12" spans="1:5" s="22" customFormat="1" ht="15" customHeight="1" x14ac:dyDescent="0.2">
      <c r="A12" s="26"/>
      <c r="B12" s="8"/>
      <c r="C12" s="9" t="s">
        <v>567</v>
      </c>
      <c r="D12" s="377"/>
      <c r="E12" s="24"/>
    </row>
    <row r="13" spans="1:5" s="22" customFormat="1" ht="15" customHeight="1" x14ac:dyDescent="0.2">
      <c r="A13" s="26"/>
      <c r="B13" s="8"/>
      <c r="C13" s="9" t="s">
        <v>221</v>
      </c>
      <c r="D13" s="377"/>
      <c r="E13" s="24"/>
    </row>
    <row r="14" spans="1:5" s="22" customFormat="1" ht="15" customHeight="1" x14ac:dyDescent="0.2">
      <c r="A14" s="26"/>
      <c r="B14" s="8"/>
      <c r="C14" s="9" t="s">
        <v>750</v>
      </c>
      <c r="D14" s="377"/>
      <c r="E14" s="24"/>
    </row>
    <row r="15" spans="1:5" s="22" customFormat="1" ht="15" customHeight="1" x14ac:dyDescent="0.2">
      <c r="A15" s="26"/>
      <c r="B15" s="8"/>
      <c r="C15" s="9" t="s">
        <v>751</v>
      </c>
      <c r="D15" s="377"/>
      <c r="E15" s="24"/>
    </row>
    <row r="16" spans="1:5" s="22" customFormat="1" ht="15" customHeight="1" x14ac:dyDescent="0.2">
      <c r="A16" s="26"/>
      <c r="B16" s="8"/>
      <c r="C16" s="9" t="str">
        <f>CONCATENATE("Investments in the capital of financial entities where the bank does not own more than 10% of the issued common share capital (assuming full deduction of all such investments including amounts in cells D", ROW(D201), " to D", ROW(D203))</f>
        <v>Investments in the capital of financial entities where the bank does not own more than 10% of the issued common share capital (assuming full deduction of all such investments including amounts in cells D201 to D203</v>
      </c>
      <c r="D16" s="377"/>
      <c r="E16" s="24"/>
    </row>
    <row r="17" spans="1:5" s="22" customFormat="1" ht="15" customHeight="1" x14ac:dyDescent="0.2">
      <c r="A17" s="26"/>
      <c r="B17" s="8"/>
      <c r="C17" s="9" t="s">
        <v>742</v>
      </c>
      <c r="D17" s="10" t="str">
        <f>IF(AND(ISNUMBER(D251),ISNUMBER(D206),ISNUMBER(D207),ISNUMBER(D208)),D251*2.5+D206+D207+D208,"")</f>
        <v/>
      </c>
      <c r="E17" s="24"/>
    </row>
    <row r="18" spans="1:5" s="22" customFormat="1" ht="15" customHeight="1" x14ac:dyDescent="0.2">
      <c r="A18" s="26"/>
      <c r="B18" s="8"/>
      <c r="C18" s="373" t="s">
        <v>144</v>
      </c>
      <c r="D18" s="10" t="str">
        <f>IF(AND(ISNUMBER(D19),ISNUMBER(D20),ISNUMBER(D21),ISNUMBER(D22)),SUM(D19:D22),"")</f>
        <v/>
      </c>
      <c r="E18" s="24"/>
    </row>
    <row r="19" spans="1:5" s="22" customFormat="1" ht="15" customHeight="1" x14ac:dyDescent="0.2">
      <c r="A19" s="26"/>
      <c r="B19" s="8"/>
      <c r="C19" s="185" t="s">
        <v>611</v>
      </c>
      <c r="D19" s="377"/>
      <c r="E19" s="24"/>
    </row>
    <row r="20" spans="1:5" s="22" customFormat="1" ht="15" customHeight="1" x14ac:dyDescent="0.2">
      <c r="A20" s="26"/>
      <c r="B20" s="8"/>
      <c r="C20" s="185" t="s">
        <v>612</v>
      </c>
      <c r="D20" s="377"/>
      <c r="E20" s="24"/>
    </row>
    <row r="21" spans="1:5" s="22" customFormat="1" ht="15" customHeight="1" x14ac:dyDescent="0.2">
      <c r="A21" s="26"/>
      <c r="B21" s="8"/>
      <c r="C21" s="185" t="s">
        <v>613</v>
      </c>
      <c r="D21" s="377"/>
      <c r="E21" s="24"/>
    </row>
    <row r="22" spans="1:5" s="22" customFormat="1" ht="15" customHeight="1" x14ac:dyDescent="0.2">
      <c r="A22" s="26"/>
      <c r="B22" s="8"/>
      <c r="C22" s="185" t="s">
        <v>180</v>
      </c>
      <c r="D22" s="377"/>
      <c r="E22" s="24"/>
    </row>
    <row r="23" spans="1:5" s="22" customFormat="1" ht="15" customHeight="1" x14ac:dyDescent="0.2">
      <c r="A23" s="26"/>
      <c r="B23" s="8"/>
      <c r="C23" s="16" t="s">
        <v>76</v>
      </c>
      <c r="D23" s="377"/>
      <c r="E23" s="24"/>
    </row>
    <row r="24" spans="1:5" s="22" customFormat="1" ht="15" customHeight="1" x14ac:dyDescent="0.2">
      <c r="A24" s="26"/>
      <c r="B24" s="89"/>
      <c r="C24" s="17" t="s">
        <v>577</v>
      </c>
      <c r="D24" s="18" t="str">
        <f>IF(AND(ISNUMBER(D7),ISNUMBER(D8),ISNUMBER(D9),ISNUMBER(D10),ISNUMBER(D11),ISNUMBER(D12),ISNUMBER(D13),ISNUMBER(D14),ISNUMBER(D15),ISNUMBER(D16),ISNUMBER(D17),ISNUMBER(D18),ISNUMBER(D23)),SUM(D7:D18,D23),"")</f>
        <v/>
      </c>
      <c r="E24" s="24"/>
    </row>
    <row r="25" spans="1:5" s="22" customFormat="1" ht="15" customHeight="1" x14ac:dyDescent="0.2">
      <c r="A25" s="26"/>
      <c r="B25" s="23"/>
      <c r="C25" s="23"/>
      <c r="D25" s="15"/>
      <c r="E25" s="24"/>
    </row>
    <row r="26" spans="1:5" ht="30" customHeight="1" x14ac:dyDescent="0.25">
      <c r="A26" s="52" t="s">
        <v>215</v>
      </c>
      <c r="B26" s="85"/>
      <c r="C26" s="48"/>
      <c r="D26" s="48"/>
      <c r="E26" s="59"/>
    </row>
    <row r="27" spans="1:5" ht="30" customHeight="1" x14ac:dyDescent="0.25">
      <c r="A27" s="44" t="s">
        <v>496</v>
      </c>
      <c r="B27" s="81"/>
      <c r="C27" s="82"/>
      <c r="D27" s="82"/>
      <c r="E27" s="54"/>
    </row>
    <row r="28" spans="1:5" ht="15" customHeight="1" x14ac:dyDescent="0.2">
      <c r="A28" s="57"/>
      <c r="B28" s="29"/>
      <c r="C28" s="29"/>
      <c r="D28" s="87"/>
      <c r="E28" s="54"/>
    </row>
    <row r="29" spans="1:5" ht="30" customHeight="1" x14ac:dyDescent="0.2">
      <c r="A29" s="57"/>
      <c r="B29" s="60" t="s">
        <v>230</v>
      </c>
      <c r="C29" s="60" t="s">
        <v>227</v>
      </c>
      <c r="D29" s="60" t="s">
        <v>643</v>
      </c>
      <c r="E29" s="54"/>
    </row>
    <row r="30" spans="1:5" s="22" customFormat="1" ht="45" customHeight="1" x14ac:dyDescent="0.2">
      <c r="A30" s="26"/>
      <c r="B30" s="20" t="s">
        <v>644</v>
      </c>
      <c r="C30" s="19" t="s">
        <v>565</v>
      </c>
      <c r="D30" s="377"/>
      <c r="E30" s="24"/>
    </row>
    <row r="31" spans="1:5" s="22" customFormat="1" ht="30" customHeight="1" x14ac:dyDescent="0.2">
      <c r="A31" s="26"/>
      <c r="B31" s="20" t="s">
        <v>644</v>
      </c>
      <c r="C31" s="19" t="s">
        <v>78</v>
      </c>
      <c r="D31" s="377"/>
      <c r="E31" s="24"/>
    </row>
    <row r="32" spans="1:5" s="22" customFormat="1" ht="30" customHeight="1" x14ac:dyDescent="0.2">
      <c r="A32" s="26"/>
      <c r="B32" s="14"/>
      <c r="C32" s="19" t="s">
        <v>390</v>
      </c>
      <c r="D32" s="12" t="str">
        <f>IF(AND(ISNUMBER(D33),ISNUMBER(D34),ISNUMBER(D35),ISNUMBER(D36),ISNUMBER(D37),ISNUMBER(D38),ISNUMBER(D39)),SUM(D33:D39),"")</f>
        <v/>
      </c>
      <c r="E32" s="24"/>
    </row>
    <row r="33" spans="1:5" s="22" customFormat="1" ht="15" customHeight="1" x14ac:dyDescent="0.2">
      <c r="A33" s="26"/>
      <c r="B33" s="20" t="s">
        <v>644</v>
      </c>
      <c r="C33" s="91" t="s">
        <v>391</v>
      </c>
      <c r="D33" s="377"/>
      <c r="E33" s="24"/>
    </row>
    <row r="34" spans="1:5" s="22" customFormat="1" ht="15" customHeight="1" x14ac:dyDescent="0.2">
      <c r="A34" s="26"/>
      <c r="B34" s="20" t="s">
        <v>644</v>
      </c>
      <c r="C34" s="91" t="s">
        <v>392</v>
      </c>
      <c r="D34" s="377"/>
      <c r="E34" s="24"/>
    </row>
    <row r="35" spans="1:5" s="22" customFormat="1" ht="15" customHeight="1" x14ac:dyDescent="0.2">
      <c r="A35" s="26"/>
      <c r="B35" s="20" t="s">
        <v>644</v>
      </c>
      <c r="C35" s="91" t="s">
        <v>145</v>
      </c>
      <c r="D35" s="377"/>
      <c r="E35" s="24"/>
    </row>
    <row r="36" spans="1:5" s="22" customFormat="1" ht="15" customHeight="1" x14ac:dyDescent="0.2">
      <c r="A36" s="26"/>
      <c r="B36" s="20" t="s">
        <v>644</v>
      </c>
      <c r="C36" s="91" t="s">
        <v>758</v>
      </c>
      <c r="D36" s="377"/>
      <c r="E36" s="24"/>
    </row>
    <row r="37" spans="1:5" s="22" customFormat="1" ht="15" customHeight="1" x14ac:dyDescent="0.2">
      <c r="A37" s="26"/>
      <c r="B37" s="20" t="s">
        <v>644</v>
      </c>
      <c r="C37" s="91" t="s">
        <v>618</v>
      </c>
      <c r="D37" s="377"/>
      <c r="E37" s="24"/>
    </row>
    <row r="38" spans="1:5" s="22" customFormat="1" ht="15" customHeight="1" x14ac:dyDescent="0.2">
      <c r="A38" s="26"/>
      <c r="B38" s="20" t="s">
        <v>644</v>
      </c>
      <c r="C38" s="91" t="s">
        <v>619</v>
      </c>
      <c r="D38" s="377"/>
      <c r="E38" s="24"/>
    </row>
    <row r="39" spans="1:5" s="22" customFormat="1" ht="15" customHeight="1" x14ac:dyDescent="0.2">
      <c r="A39" s="26"/>
      <c r="B39" s="20" t="s">
        <v>644</v>
      </c>
      <c r="C39" s="91" t="s">
        <v>399</v>
      </c>
      <c r="D39" s="377"/>
      <c r="E39" s="24"/>
    </row>
    <row r="40" spans="1:5" s="22" customFormat="1" ht="15" customHeight="1" x14ac:dyDescent="0.2">
      <c r="A40" s="26"/>
      <c r="B40" s="11"/>
      <c r="C40" s="19" t="s">
        <v>400</v>
      </c>
      <c r="D40" s="10" t="str">
        <f>IF(AND(ISNUMBER(D30),ISNUMBER(D31),ISNUMBER(D32)),SUM(D30:D32),"")</f>
        <v/>
      </c>
      <c r="E40" s="24"/>
    </row>
    <row r="41" spans="1:5" s="22" customFormat="1" ht="15" customHeight="1" x14ac:dyDescent="0.2">
      <c r="A41" s="26"/>
      <c r="B41" s="20" t="s">
        <v>645</v>
      </c>
      <c r="C41" s="88" t="s">
        <v>140</v>
      </c>
      <c r="D41" s="377"/>
      <c r="E41" s="24"/>
    </row>
    <row r="42" spans="1:5" s="22" customFormat="1" ht="15" customHeight="1" x14ac:dyDescent="0.2">
      <c r="A42" s="26"/>
      <c r="B42" s="8"/>
      <c r="C42" s="19" t="s">
        <v>231</v>
      </c>
      <c r="D42" s="10" t="str">
        <f>IF(AND(ISNUMBER(D40),ISNUMBER(D41)),D40+D41,"")</f>
        <v/>
      </c>
      <c r="E42" s="24"/>
    </row>
    <row r="43" spans="1:5" s="22" customFormat="1" ht="15" customHeight="1" x14ac:dyDescent="0.2">
      <c r="A43" s="26"/>
      <c r="B43" s="8"/>
      <c r="C43" s="13" t="s">
        <v>232</v>
      </c>
      <c r="D43" s="10" t="str">
        <f>IF(ISNUMBER(D94),D94,"")</f>
        <v/>
      </c>
      <c r="E43" s="24"/>
    </row>
    <row r="44" spans="1:5" s="22" customFormat="1" ht="15" customHeight="1" x14ac:dyDescent="0.2">
      <c r="A44" s="26"/>
      <c r="B44" s="8"/>
      <c r="C44" s="13" t="s">
        <v>401</v>
      </c>
      <c r="D44" s="10" t="str">
        <f>IF(ISNUMBER(D100),D100,"")</f>
        <v/>
      </c>
      <c r="E44" s="24"/>
    </row>
    <row r="45" spans="1:5" s="22" customFormat="1" ht="15" customHeight="1" x14ac:dyDescent="0.2">
      <c r="A45" s="26"/>
      <c r="B45" s="8"/>
      <c r="C45" s="13" t="s">
        <v>233</v>
      </c>
      <c r="D45" s="10" t="str">
        <f>IF(ISNUMBER(D112),D112,"")</f>
        <v/>
      </c>
      <c r="E45" s="24"/>
    </row>
    <row r="46" spans="1:5" s="22" customFormat="1" ht="15" customHeight="1" x14ac:dyDescent="0.2">
      <c r="A46" s="26"/>
      <c r="B46" s="8"/>
      <c r="C46" s="88" t="s">
        <v>234</v>
      </c>
      <c r="D46" s="10" t="str">
        <f>IF(ISNUMBER(D120),D120,"")</f>
        <v/>
      </c>
      <c r="E46" s="24"/>
    </row>
    <row r="47" spans="1:5" s="22" customFormat="1" ht="15" customHeight="1" x14ac:dyDescent="0.2">
      <c r="A47" s="26"/>
      <c r="B47" s="8"/>
      <c r="C47" s="13" t="s">
        <v>370</v>
      </c>
      <c r="D47" s="10" t="str">
        <f>IF(ISNUMBER(D132),D132,"")</f>
        <v/>
      </c>
      <c r="E47" s="24"/>
    </row>
    <row r="48" spans="1:5" s="22" customFormat="1" ht="15" customHeight="1" x14ac:dyDescent="0.2">
      <c r="A48" s="26"/>
      <c r="B48" s="8"/>
      <c r="C48" s="13" t="s">
        <v>371</v>
      </c>
      <c r="D48" s="10" t="str">
        <f>IF(ISNUMBER(D141),D141,"")</f>
        <v/>
      </c>
      <c r="E48" s="24"/>
    </row>
    <row r="49" spans="1:5" s="22" customFormat="1" ht="15" customHeight="1" x14ac:dyDescent="0.2">
      <c r="A49" s="26"/>
      <c r="B49" s="8"/>
      <c r="C49" s="88" t="s">
        <v>386</v>
      </c>
      <c r="D49" s="10" t="str">
        <f>IF(ISNUMBER(D161),D161,"")</f>
        <v/>
      </c>
      <c r="E49" s="24"/>
    </row>
    <row r="50" spans="1:5" s="22" customFormat="1" ht="15" customHeight="1" x14ac:dyDescent="0.2">
      <c r="A50" s="26"/>
      <c r="B50" s="8"/>
      <c r="C50" s="88" t="s">
        <v>116</v>
      </c>
      <c r="D50" s="10" t="str">
        <f>IF(ISNUMBER(D165),D165,"")</f>
        <v/>
      </c>
      <c r="E50" s="24"/>
    </row>
    <row r="51" spans="1:5" s="22" customFormat="1" ht="15" customHeight="1" x14ac:dyDescent="0.2">
      <c r="A51" s="26"/>
      <c r="B51" s="8"/>
      <c r="C51" s="13" t="s">
        <v>82</v>
      </c>
      <c r="D51" s="10" t="str">
        <f>IF(ISNUMBER(D175),D175,"")</f>
        <v/>
      </c>
      <c r="E51" s="24"/>
    </row>
    <row r="52" spans="1:5" s="22" customFormat="1" ht="15" customHeight="1" x14ac:dyDescent="0.2">
      <c r="A52" s="26"/>
      <c r="B52" s="8"/>
      <c r="C52" s="13" t="s">
        <v>89</v>
      </c>
      <c r="D52" s="10" t="str">
        <f>IF(ISNUMBER(D179),D179,"")</f>
        <v/>
      </c>
      <c r="E52" s="24"/>
    </row>
    <row r="53" spans="1:5" s="22" customFormat="1" ht="15" customHeight="1" x14ac:dyDescent="0.2">
      <c r="A53" s="26"/>
      <c r="B53" s="8"/>
      <c r="C53" s="19" t="s">
        <v>130</v>
      </c>
      <c r="D53" s="10" t="str">
        <f>IF(AND(ISNUMBER(D42),ISNUMBER(D43),ISNUMBER(D44),ISNUMBER(D45),ISNUMBER(D46),ISNUMBER(D47),ISNUMBER(D48),ISNUMBER(D49),ISNUMBER(D50),ISNUMBER(D51),ISNUMBER(D52)),D42-SUM(D43:D52),"")</f>
        <v/>
      </c>
      <c r="E53" s="24"/>
    </row>
    <row r="54" spans="1:5" s="22" customFormat="1" ht="15" customHeight="1" x14ac:dyDescent="0.2">
      <c r="A54" s="26"/>
      <c r="B54" s="8"/>
      <c r="C54" s="13" t="s">
        <v>117</v>
      </c>
      <c r="D54" s="10" t="str">
        <f>IF(ISNUMBER(D196),D196,"")</f>
        <v/>
      </c>
      <c r="E54" s="24"/>
    </row>
    <row r="55" spans="1:5" s="22" customFormat="1" ht="15" customHeight="1" x14ac:dyDescent="0.2">
      <c r="A55" s="26"/>
      <c r="B55" s="8"/>
      <c r="C55" s="19" t="s">
        <v>130</v>
      </c>
      <c r="D55" s="10" t="str">
        <f>IF(AND(ISNUMBER(D53),ISNUMBER(D54)),D53-D54,"")</f>
        <v/>
      </c>
      <c r="E55" s="24"/>
    </row>
    <row r="56" spans="1:5" s="22" customFormat="1" ht="15" customHeight="1" x14ac:dyDescent="0.2">
      <c r="A56" s="26"/>
      <c r="B56" s="8"/>
      <c r="C56" s="13" t="s">
        <v>119</v>
      </c>
      <c r="D56" s="10" t="str">
        <f>IF(ISNUMBER(D223),D223,"")</f>
        <v/>
      </c>
      <c r="E56" s="24"/>
    </row>
    <row r="57" spans="1:5" s="22" customFormat="1" ht="15" customHeight="1" x14ac:dyDescent="0.2">
      <c r="A57" s="26"/>
      <c r="B57" s="8"/>
      <c r="C57" s="13" t="s">
        <v>216</v>
      </c>
      <c r="D57" s="10" t="str">
        <f>IF(ISNUMBER(D233),D233,"")</f>
        <v/>
      </c>
      <c r="E57" s="24"/>
    </row>
    <row r="58" spans="1:5" s="22" customFormat="1" ht="15" customHeight="1" x14ac:dyDescent="0.2">
      <c r="A58" s="26"/>
      <c r="B58" s="8"/>
      <c r="C58" s="13" t="s">
        <v>217</v>
      </c>
      <c r="D58" s="10" t="str">
        <f>IF(ISNUMBER(D238),D238,"")</f>
        <v/>
      </c>
      <c r="E58" s="24"/>
    </row>
    <row r="59" spans="1:5" s="22" customFormat="1" ht="15" customHeight="1" x14ac:dyDescent="0.2">
      <c r="A59" s="26"/>
      <c r="B59" s="8"/>
      <c r="C59" s="19" t="s">
        <v>131</v>
      </c>
      <c r="D59" s="10" t="str">
        <f>IF(AND(ISNUMBER(D55),ISNUMBER(D56),ISNUMBER(D57),ISNUMBER(D58)),D55-D56-D57-D58,"")</f>
        <v/>
      </c>
      <c r="E59" s="24"/>
    </row>
    <row r="60" spans="1:5" s="22" customFormat="1" ht="15" customHeight="1" x14ac:dyDescent="0.2">
      <c r="A60" s="26"/>
      <c r="B60" s="8"/>
      <c r="C60" s="13" t="s">
        <v>235</v>
      </c>
      <c r="D60" s="10" t="str">
        <f>IF(AND(ISNUMBER(D73),ISNUMBER(D74)),D73-D74,"")</f>
        <v/>
      </c>
      <c r="E60" s="24"/>
    </row>
    <row r="61" spans="1:5" s="22" customFormat="1" ht="15" customHeight="1" x14ac:dyDescent="0.2">
      <c r="A61" s="26"/>
      <c r="B61" s="8"/>
      <c r="C61" s="19" t="s">
        <v>131</v>
      </c>
      <c r="D61" s="10" t="str">
        <f>IF(AND(ISNUMBER(D59),ISNUMBER(D60)),D59-D60,"")</f>
        <v/>
      </c>
      <c r="E61" s="24"/>
    </row>
    <row r="62" spans="1:5" s="22" customFormat="1" ht="15" customHeight="1" x14ac:dyDescent="0.2">
      <c r="A62" s="26"/>
      <c r="B62" s="8"/>
      <c r="C62" s="13" t="s">
        <v>608</v>
      </c>
      <c r="D62" s="10" t="str">
        <f>IF(ISNUMBER(D245),D245,"")</f>
        <v/>
      </c>
      <c r="E62" s="24"/>
    </row>
    <row r="63" spans="1:5" s="22" customFormat="1" ht="15" customHeight="1" x14ac:dyDescent="0.2">
      <c r="A63" s="26"/>
      <c r="B63" s="89"/>
      <c r="C63" s="90" t="s">
        <v>446</v>
      </c>
      <c r="D63" s="18" t="str">
        <f>IF(AND(ISNUMBER(D61),ISNUMBER(D62)),D61-D62,"")</f>
        <v/>
      </c>
      <c r="E63" s="24"/>
    </row>
    <row r="64" spans="1:5" ht="45" customHeight="1" x14ac:dyDescent="0.25">
      <c r="A64" s="44" t="s">
        <v>107</v>
      </c>
      <c r="B64" s="81"/>
      <c r="C64" s="33"/>
      <c r="D64" s="34"/>
      <c r="E64" s="54"/>
    </row>
    <row r="65" spans="1:5" ht="15" customHeight="1" x14ac:dyDescent="0.2">
      <c r="A65" s="57"/>
      <c r="B65" s="29"/>
      <c r="C65" s="29"/>
      <c r="D65" s="87"/>
      <c r="E65" s="54"/>
    </row>
    <row r="66" spans="1:5" ht="30" customHeight="1" x14ac:dyDescent="0.2">
      <c r="A66" s="57"/>
      <c r="B66" s="60" t="s">
        <v>230</v>
      </c>
      <c r="C66" s="60" t="s">
        <v>227</v>
      </c>
      <c r="D66" s="60" t="s">
        <v>643</v>
      </c>
      <c r="E66" s="54"/>
    </row>
    <row r="67" spans="1:5" s="22" customFormat="1" ht="15" customHeight="1" x14ac:dyDescent="0.2">
      <c r="A67" s="26"/>
      <c r="B67" s="14"/>
      <c r="C67" s="19" t="s">
        <v>132</v>
      </c>
      <c r="D67" s="10" t="str">
        <f>IF(ISNUMBER(D63),D63,"")</f>
        <v/>
      </c>
      <c r="E67" s="24"/>
    </row>
    <row r="68" spans="1:5" s="22" customFormat="1" ht="15" customHeight="1" x14ac:dyDescent="0.2">
      <c r="A68" s="26"/>
      <c r="B68" s="20" t="s">
        <v>647</v>
      </c>
      <c r="C68" s="13" t="s">
        <v>759</v>
      </c>
      <c r="D68" s="377"/>
      <c r="E68" s="24"/>
    </row>
    <row r="69" spans="1:5" s="22" customFormat="1" ht="30" customHeight="1" x14ac:dyDescent="0.2">
      <c r="A69" s="26"/>
      <c r="B69" s="20" t="s">
        <v>646</v>
      </c>
      <c r="C69" s="88" t="s">
        <v>141</v>
      </c>
      <c r="D69" s="377"/>
      <c r="E69" s="24"/>
    </row>
    <row r="70" spans="1:5" s="22" customFormat="1" ht="15" customHeight="1" x14ac:dyDescent="0.2">
      <c r="A70" s="26"/>
      <c r="B70" s="8"/>
      <c r="C70" s="19" t="s">
        <v>133</v>
      </c>
      <c r="D70" s="10" t="str">
        <f>IF(AND(ISNUMBER(D67),ISNUMBER(D68),ISNUMBER(D69)),SUM(D67:D69),"")</f>
        <v/>
      </c>
      <c r="E70" s="24"/>
    </row>
    <row r="71" spans="1:5" s="22" customFormat="1" ht="15" customHeight="1" x14ac:dyDescent="0.2">
      <c r="A71" s="26"/>
      <c r="B71" s="8"/>
      <c r="C71" s="13" t="s">
        <v>236</v>
      </c>
      <c r="D71" s="10" t="str">
        <f>IF(AND(ISNUMBER(D124),ISNUMBER(D133),ISNUMBER(D197),ISNUMBER(D224)),D124+D133+D197+D224,"")</f>
        <v/>
      </c>
      <c r="E71" s="24"/>
    </row>
    <row r="72" spans="1:5" s="22" customFormat="1" ht="15" customHeight="1" x14ac:dyDescent="0.2">
      <c r="A72" s="26"/>
      <c r="B72" s="8"/>
      <c r="C72" s="13" t="s">
        <v>282</v>
      </c>
      <c r="D72" s="10" t="str">
        <f>IF(AND(ISNUMBER(D84),ISNUMBER(D85)),D84-D85,"")</f>
        <v/>
      </c>
      <c r="E72" s="24"/>
    </row>
    <row r="73" spans="1:5" s="22" customFormat="1" ht="15" customHeight="1" x14ac:dyDescent="0.2">
      <c r="A73" s="26"/>
      <c r="B73" s="8"/>
      <c r="C73" s="19" t="s">
        <v>134</v>
      </c>
      <c r="D73" s="10" t="str">
        <f>IF(AND(ISNUMBER(D71),ISNUMBER(D72)),D71+D72,"")</f>
        <v/>
      </c>
      <c r="E73" s="24"/>
    </row>
    <row r="74" spans="1:5" s="22" customFormat="1" ht="15" customHeight="1" x14ac:dyDescent="0.2">
      <c r="A74" s="26"/>
      <c r="B74" s="8"/>
      <c r="C74" s="91" t="s">
        <v>283</v>
      </c>
      <c r="D74" s="10" t="str">
        <f>IF(AND(ISNUMBER(D73),ISNUMBER(D68),ISNUMBER(D69)),MIN(D73,SUM(D68:D69)),"")</f>
        <v/>
      </c>
      <c r="E74" s="24"/>
    </row>
    <row r="75" spans="1:5" s="22" customFormat="1" ht="15" customHeight="1" x14ac:dyDescent="0.2">
      <c r="A75" s="26"/>
      <c r="B75" s="89"/>
      <c r="C75" s="90" t="s">
        <v>129</v>
      </c>
      <c r="D75" s="18" t="str">
        <f>IF(AND(ISNUMBER(D70),ISNUMBER(D74)),D70-D74,"")</f>
        <v/>
      </c>
      <c r="E75" s="24"/>
    </row>
    <row r="76" spans="1:5" ht="45" customHeight="1" x14ac:dyDescent="0.25">
      <c r="A76" s="44" t="s">
        <v>149</v>
      </c>
      <c r="B76" s="81"/>
      <c r="C76" s="33"/>
      <c r="D76" s="34"/>
      <c r="E76" s="54"/>
    </row>
    <row r="77" spans="1:5" ht="15" customHeight="1" x14ac:dyDescent="0.2">
      <c r="A77" s="57"/>
      <c r="B77" s="29"/>
      <c r="C77" s="29"/>
      <c r="D77" s="87"/>
      <c r="E77" s="54"/>
    </row>
    <row r="78" spans="1:5" ht="30" customHeight="1" x14ac:dyDescent="0.2">
      <c r="A78" s="57"/>
      <c r="B78" s="60" t="s">
        <v>230</v>
      </c>
      <c r="C78" s="60" t="s">
        <v>227</v>
      </c>
      <c r="D78" s="60" t="s">
        <v>643</v>
      </c>
      <c r="E78" s="54"/>
    </row>
    <row r="79" spans="1:5" s="22" customFormat="1" ht="15" customHeight="1" x14ac:dyDescent="0.2">
      <c r="A79" s="26"/>
      <c r="B79" s="14"/>
      <c r="C79" s="19" t="s">
        <v>129</v>
      </c>
      <c r="D79" s="10" t="str">
        <f>IF(ISNUMBER(D75),D75,"")</f>
        <v/>
      </c>
      <c r="E79" s="24"/>
    </row>
    <row r="80" spans="1:5" s="22" customFormat="1" ht="15" customHeight="1" x14ac:dyDescent="0.2">
      <c r="A80" s="26"/>
      <c r="B80" s="20" t="s">
        <v>284</v>
      </c>
      <c r="C80" s="13" t="s">
        <v>760</v>
      </c>
      <c r="D80" s="377"/>
      <c r="E80" s="24"/>
    </row>
    <row r="81" spans="1:5" s="22" customFormat="1" ht="15" customHeight="1" x14ac:dyDescent="0.2">
      <c r="A81" s="26"/>
      <c r="B81" s="20" t="s">
        <v>646</v>
      </c>
      <c r="C81" s="88" t="s">
        <v>143</v>
      </c>
      <c r="D81" s="377"/>
      <c r="E81" s="24"/>
    </row>
    <row r="82" spans="1:5" s="22" customFormat="1" ht="15" customHeight="1" x14ac:dyDescent="0.2">
      <c r="A82" s="26"/>
      <c r="B82" s="92"/>
      <c r="C82" s="13" t="s">
        <v>609</v>
      </c>
      <c r="D82" s="10" t="str">
        <f>IF(ISNUMBER(D152),D152,"")</f>
        <v/>
      </c>
      <c r="E82" s="24"/>
    </row>
    <row r="83" spans="1:5" s="22" customFormat="1" ht="15" customHeight="1" x14ac:dyDescent="0.2">
      <c r="A83" s="26"/>
      <c r="B83" s="92"/>
      <c r="C83" s="19" t="s">
        <v>135</v>
      </c>
      <c r="D83" s="10" t="str">
        <f>IF(AND(ISNUMBER(D79),ISNUMBER(D80),ISNUMBER(D81),ISNUMBER(D82)),SUM(D79:D82),"")</f>
        <v/>
      </c>
      <c r="E83" s="24"/>
    </row>
    <row r="84" spans="1:5" s="22" customFormat="1" ht="15" customHeight="1" x14ac:dyDescent="0.2">
      <c r="A84" s="26"/>
      <c r="B84" s="92"/>
      <c r="C84" s="13" t="s">
        <v>752</v>
      </c>
      <c r="D84" s="10" t="str">
        <f>IF(AND(ISNUMBER(D128),ISNUMBER(D134),ISNUMBER(D198),ISNUMBER(D225)),D128+D134+D198+D225,"")</f>
        <v/>
      </c>
      <c r="E84" s="24"/>
    </row>
    <row r="85" spans="1:5" s="22" customFormat="1" ht="15" customHeight="1" x14ac:dyDescent="0.2">
      <c r="A85" s="26"/>
      <c r="B85" s="93"/>
      <c r="C85" s="91" t="s">
        <v>304</v>
      </c>
      <c r="D85" s="10" t="str">
        <f>IF(AND(ISNUMBER(D84),ISNUMBER(D80),ISNUMBER(D81),ISNUMBER(D82)),MIN(D84,SUM(D80:D82)),"")</f>
        <v/>
      </c>
      <c r="E85" s="24"/>
    </row>
    <row r="86" spans="1:5" s="22" customFormat="1" ht="15" customHeight="1" x14ac:dyDescent="0.2">
      <c r="A86" s="26"/>
      <c r="B86" s="94"/>
      <c r="C86" s="90" t="s">
        <v>451</v>
      </c>
      <c r="D86" s="18" t="str">
        <f>IF(AND(ISNUMBER(D83),ISNUMBER(D85)),D83-D85,"")</f>
        <v/>
      </c>
      <c r="E86" s="24"/>
    </row>
    <row r="87" spans="1:5" s="22" customFormat="1" ht="15" customHeight="1" x14ac:dyDescent="0.2">
      <c r="A87" s="26"/>
      <c r="B87" s="25"/>
      <c r="C87" s="95"/>
      <c r="D87" s="96"/>
      <c r="E87" s="24"/>
    </row>
    <row r="88" spans="1:5" ht="30" customHeight="1" x14ac:dyDescent="0.25">
      <c r="A88" s="52" t="s">
        <v>85</v>
      </c>
      <c r="B88" s="85"/>
      <c r="C88" s="48"/>
      <c r="D88" s="48"/>
      <c r="E88" s="59"/>
    </row>
    <row r="89" spans="1:5" ht="30" customHeight="1" x14ac:dyDescent="0.25">
      <c r="A89" s="44" t="s">
        <v>86</v>
      </c>
      <c r="B89" s="81"/>
      <c r="C89" s="33"/>
      <c r="D89" s="34"/>
      <c r="E89" s="54"/>
    </row>
    <row r="90" spans="1:5" ht="15" customHeight="1" x14ac:dyDescent="0.2">
      <c r="A90" s="57"/>
      <c r="B90" s="29"/>
      <c r="C90" s="29"/>
      <c r="D90" s="87"/>
      <c r="E90" s="54"/>
    </row>
    <row r="91" spans="1:5" ht="30" customHeight="1" x14ac:dyDescent="0.2">
      <c r="A91" s="57"/>
      <c r="B91" s="60" t="s">
        <v>230</v>
      </c>
      <c r="C91" s="60" t="s">
        <v>227</v>
      </c>
      <c r="D91" s="60" t="s">
        <v>643</v>
      </c>
      <c r="E91" s="54"/>
    </row>
    <row r="92" spans="1:5" s="22" customFormat="1" ht="15" customHeight="1" x14ac:dyDescent="0.2">
      <c r="A92" s="26"/>
      <c r="B92" s="20" t="s">
        <v>648</v>
      </c>
      <c r="C92" s="13" t="s">
        <v>77</v>
      </c>
      <c r="D92" s="377"/>
      <c r="E92" s="24"/>
    </row>
    <row r="93" spans="1:5" s="22" customFormat="1" ht="15" customHeight="1" x14ac:dyDescent="0.2">
      <c r="A93" s="26"/>
      <c r="B93" s="20" t="s">
        <v>648</v>
      </c>
      <c r="C93" s="13" t="s">
        <v>90</v>
      </c>
      <c r="D93" s="377"/>
      <c r="E93" s="24"/>
    </row>
    <row r="94" spans="1:5" s="22" customFormat="1" ht="15" customHeight="1" x14ac:dyDescent="0.2">
      <c r="A94" s="26"/>
      <c r="B94" s="14"/>
      <c r="C94" s="97" t="s">
        <v>404</v>
      </c>
      <c r="D94" s="10" t="str">
        <f>IF(AND(ISNUMBER(D92),ISNUMBER(D93)),D92-D93,"")</f>
        <v/>
      </c>
      <c r="E94" s="24"/>
    </row>
    <row r="95" spans="1:5" ht="45" customHeight="1" x14ac:dyDescent="0.25">
      <c r="A95" s="44" t="s">
        <v>87</v>
      </c>
      <c r="B95" s="81"/>
      <c r="C95" s="33"/>
      <c r="D95" s="34"/>
      <c r="E95" s="54"/>
    </row>
    <row r="96" spans="1:5" ht="15" customHeight="1" x14ac:dyDescent="0.2">
      <c r="A96" s="57"/>
      <c r="B96" s="29"/>
      <c r="C96" s="29"/>
      <c r="D96" s="87"/>
      <c r="E96" s="54"/>
    </row>
    <row r="97" spans="1:5" ht="30" customHeight="1" x14ac:dyDescent="0.2">
      <c r="A97" s="57"/>
      <c r="B97" s="60" t="s">
        <v>230</v>
      </c>
      <c r="C97" s="60" t="s">
        <v>227</v>
      </c>
      <c r="D97" s="60" t="s">
        <v>643</v>
      </c>
      <c r="E97" s="54"/>
    </row>
    <row r="98" spans="1:5" s="22" customFormat="1" ht="15" customHeight="1" x14ac:dyDescent="0.2">
      <c r="A98" s="26"/>
      <c r="B98" s="20" t="s">
        <v>648</v>
      </c>
      <c r="C98" s="13" t="s">
        <v>285</v>
      </c>
      <c r="D98" s="377"/>
      <c r="E98" s="24"/>
    </row>
    <row r="99" spans="1:5" s="22" customFormat="1" ht="15" customHeight="1" x14ac:dyDescent="0.2">
      <c r="A99" s="26"/>
      <c r="B99" s="20" t="s">
        <v>648</v>
      </c>
      <c r="C99" s="88" t="s">
        <v>71</v>
      </c>
      <c r="D99" s="377"/>
      <c r="E99" s="24"/>
    </row>
    <row r="100" spans="1:5" s="22" customFormat="1" ht="15" customHeight="1" x14ac:dyDescent="0.2">
      <c r="A100" s="26"/>
      <c r="B100" s="14"/>
      <c r="C100" s="97" t="s">
        <v>403</v>
      </c>
      <c r="D100" s="10" t="str">
        <f>IF(AND(ISNUMBER(D98),ISNUMBER(D99)),D98-D99,"")</f>
        <v/>
      </c>
      <c r="E100" s="24"/>
    </row>
    <row r="101" spans="1:5" ht="45" customHeight="1" x14ac:dyDescent="0.25">
      <c r="A101" s="44" t="s">
        <v>111</v>
      </c>
      <c r="B101" s="81"/>
      <c r="C101" s="33"/>
      <c r="D101" s="34"/>
      <c r="E101" s="54"/>
    </row>
    <row r="102" spans="1:5" ht="15" customHeight="1" x14ac:dyDescent="0.2">
      <c r="A102" s="57"/>
      <c r="B102" s="29"/>
      <c r="C102" s="29"/>
      <c r="D102" s="87"/>
      <c r="E102" s="54"/>
    </row>
    <row r="103" spans="1:5" ht="30" customHeight="1" x14ac:dyDescent="0.2">
      <c r="A103" s="57"/>
      <c r="B103" s="60" t="s">
        <v>230</v>
      </c>
      <c r="C103" s="60" t="s">
        <v>227</v>
      </c>
      <c r="D103" s="60" t="s">
        <v>643</v>
      </c>
      <c r="E103" s="54"/>
    </row>
    <row r="104" spans="1:5" s="22" customFormat="1" ht="15" customHeight="1" x14ac:dyDescent="0.2">
      <c r="A104" s="26"/>
      <c r="B104" s="98"/>
      <c r="C104" s="99" t="s">
        <v>590</v>
      </c>
      <c r="D104" s="14"/>
      <c r="E104" s="24"/>
    </row>
    <row r="105" spans="1:5" s="22" customFormat="1" ht="15" customHeight="1" x14ac:dyDescent="0.2">
      <c r="A105" s="26"/>
      <c r="B105" s="100">
        <v>70</v>
      </c>
      <c r="C105" s="101" t="s">
        <v>75</v>
      </c>
      <c r="D105" s="377"/>
      <c r="E105" s="24"/>
    </row>
    <row r="106" spans="1:5" s="22" customFormat="1" ht="15" customHeight="1" x14ac:dyDescent="0.2">
      <c r="A106" s="26"/>
      <c r="B106" s="100">
        <v>70</v>
      </c>
      <c r="C106" s="101" t="s">
        <v>286</v>
      </c>
      <c r="D106" s="377"/>
      <c r="E106" s="24"/>
    </row>
    <row r="107" spans="1:5" s="22" customFormat="1" ht="15" customHeight="1" x14ac:dyDescent="0.2">
      <c r="A107" s="26"/>
      <c r="B107" s="102"/>
      <c r="C107" s="99" t="s">
        <v>591</v>
      </c>
      <c r="D107" s="14"/>
      <c r="E107" s="24"/>
    </row>
    <row r="108" spans="1:5" s="22" customFormat="1" ht="15" customHeight="1" x14ac:dyDescent="0.2">
      <c r="A108" s="26"/>
      <c r="B108" s="103"/>
      <c r="C108" s="101" t="s">
        <v>305</v>
      </c>
      <c r="D108" s="377"/>
      <c r="E108" s="24"/>
    </row>
    <row r="109" spans="1:5" s="22" customFormat="1" ht="15" customHeight="1" x14ac:dyDescent="0.2">
      <c r="A109" s="26"/>
      <c r="B109" s="100">
        <v>69</v>
      </c>
      <c r="C109" s="101" t="s">
        <v>306</v>
      </c>
      <c r="D109" s="10" t="str">
        <f>IF(AND(ISNUMBER(D110),ISNUMBER(D111)),SUM(D110:D111),"")</f>
        <v/>
      </c>
      <c r="E109" s="24"/>
    </row>
    <row r="110" spans="1:5" s="22" customFormat="1" ht="15" customHeight="1" x14ac:dyDescent="0.2">
      <c r="A110" s="26"/>
      <c r="B110" s="100">
        <v>69</v>
      </c>
      <c r="C110" s="153" t="s">
        <v>307</v>
      </c>
      <c r="D110" s="377"/>
      <c r="E110" s="24"/>
    </row>
    <row r="111" spans="1:5" s="22" customFormat="1" ht="15" customHeight="1" x14ac:dyDescent="0.2">
      <c r="A111" s="26"/>
      <c r="B111" s="100">
        <v>69</v>
      </c>
      <c r="C111" s="153" t="s">
        <v>311</v>
      </c>
      <c r="D111" s="377"/>
      <c r="E111" s="24"/>
    </row>
    <row r="112" spans="1:5" s="22" customFormat="1" ht="15" customHeight="1" x14ac:dyDescent="0.2">
      <c r="A112" s="26"/>
      <c r="B112" s="102"/>
      <c r="C112" s="99" t="s">
        <v>405</v>
      </c>
      <c r="D112" s="10" t="str">
        <f>IF(ISNUMBER(D110),D110,"")</f>
        <v/>
      </c>
      <c r="E112" s="24"/>
    </row>
    <row r="113" spans="1:5" s="22" customFormat="1" ht="15" customHeight="1" x14ac:dyDescent="0.2">
      <c r="A113" s="26"/>
      <c r="B113" s="103"/>
      <c r="C113" s="99" t="s">
        <v>112</v>
      </c>
      <c r="D113" s="10" t="str">
        <f>IF(ISNUMBER(D111),D111,"")</f>
        <v/>
      </c>
      <c r="E113" s="24"/>
    </row>
    <row r="114" spans="1:5" ht="45" customHeight="1" x14ac:dyDescent="0.25">
      <c r="A114" s="44" t="s">
        <v>406</v>
      </c>
      <c r="B114" s="81"/>
      <c r="C114" s="33"/>
      <c r="D114" s="34"/>
      <c r="E114" s="54"/>
    </row>
    <row r="115" spans="1:5" ht="15" customHeight="1" x14ac:dyDescent="0.2">
      <c r="A115" s="57"/>
      <c r="B115" s="29"/>
      <c r="C115" s="29"/>
      <c r="D115" s="87"/>
      <c r="E115" s="54"/>
    </row>
    <row r="116" spans="1:5" ht="30" customHeight="1" x14ac:dyDescent="0.2">
      <c r="A116" s="57"/>
      <c r="B116" s="60" t="s">
        <v>230</v>
      </c>
      <c r="C116" s="60" t="s">
        <v>227</v>
      </c>
      <c r="D116" s="60" t="s">
        <v>643</v>
      </c>
      <c r="E116" s="54"/>
    </row>
    <row r="117" spans="1:5" s="22" customFormat="1" ht="15" customHeight="1" x14ac:dyDescent="0.2">
      <c r="A117" s="26"/>
      <c r="B117" s="100">
        <v>78</v>
      </c>
      <c r="C117" s="101" t="s">
        <v>146</v>
      </c>
      <c r="D117" s="377"/>
      <c r="E117" s="24"/>
    </row>
    <row r="118" spans="1:5" s="22" customFormat="1" ht="15" customHeight="1" x14ac:dyDescent="0.2">
      <c r="A118" s="26"/>
      <c r="B118" s="100">
        <v>78</v>
      </c>
      <c r="C118" s="101" t="s">
        <v>312</v>
      </c>
      <c r="D118" s="377"/>
      <c r="E118" s="24"/>
    </row>
    <row r="119" spans="1:5" s="22" customFormat="1" ht="15" customHeight="1" x14ac:dyDescent="0.2">
      <c r="A119" s="26"/>
      <c r="B119" s="100">
        <v>78</v>
      </c>
      <c r="C119" s="101" t="s">
        <v>73</v>
      </c>
      <c r="D119" s="377"/>
      <c r="E119" s="24"/>
    </row>
    <row r="120" spans="1:5" s="22" customFormat="1" ht="15" customHeight="1" x14ac:dyDescent="0.2">
      <c r="A120" s="26"/>
      <c r="B120" s="98"/>
      <c r="C120" s="99" t="s">
        <v>407</v>
      </c>
      <c r="D120" s="10" t="str">
        <f>IF(AND(ISNUMBER(D117),ISNUMBER(D118),ISNUMBER(D119)),SUM(D117:D119),"")</f>
        <v/>
      </c>
      <c r="E120" s="24"/>
    </row>
    <row r="121" spans="1:5" s="22" customFormat="1" ht="15" customHeight="1" x14ac:dyDescent="0.2">
      <c r="A121" s="26"/>
      <c r="B121" s="100">
        <v>78</v>
      </c>
      <c r="C121" s="101" t="s">
        <v>408</v>
      </c>
      <c r="D121" s="377"/>
      <c r="E121" s="24"/>
    </row>
    <row r="122" spans="1:5" s="22" customFormat="1" ht="15" customHeight="1" x14ac:dyDescent="0.2">
      <c r="A122" s="26"/>
      <c r="B122" s="100">
        <v>78</v>
      </c>
      <c r="C122" s="101" t="s">
        <v>409</v>
      </c>
      <c r="D122" s="377"/>
      <c r="E122" s="24"/>
    </row>
    <row r="123" spans="1:5" s="22" customFormat="1" ht="15" customHeight="1" x14ac:dyDescent="0.2">
      <c r="A123" s="26"/>
      <c r="B123" s="100">
        <v>78</v>
      </c>
      <c r="C123" s="101" t="s">
        <v>410</v>
      </c>
      <c r="D123" s="377"/>
      <c r="E123" s="24"/>
    </row>
    <row r="124" spans="1:5" s="22" customFormat="1" ht="15" customHeight="1" x14ac:dyDescent="0.2">
      <c r="A124" s="26"/>
      <c r="B124" s="98"/>
      <c r="C124" s="99" t="s">
        <v>314</v>
      </c>
      <c r="D124" s="10" t="str">
        <f>IF(AND(ISNUMBER(D121),ISNUMBER(D122),ISNUMBER(D123)),SUM(D121:D123),"")</f>
        <v/>
      </c>
      <c r="E124" s="24"/>
    </row>
    <row r="125" spans="1:5" s="22" customFormat="1" ht="15" customHeight="1" x14ac:dyDescent="0.2">
      <c r="A125" s="26"/>
      <c r="B125" s="100">
        <v>78</v>
      </c>
      <c r="C125" s="101" t="s">
        <v>411</v>
      </c>
      <c r="D125" s="377"/>
      <c r="E125" s="24"/>
    </row>
    <row r="126" spans="1:5" s="22" customFormat="1" ht="15" customHeight="1" x14ac:dyDescent="0.2">
      <c r="A126" s="26"/>
      <c r="B126" s="100">
        <v>78</v>
      </c>
      <c r="C126" s="101" t="s">
        <v>412</v>
      </c>
      <c r="D126" s="377"/>
      <c r="E126" s="24"/>
    </row>
    <row r="127" spans="1:5" s="22" customFormat="1" ht="15" customHeight="1" x14ac:dyDescent="0.2">
      <c r="A127" s="26"/>
      <c r="B127" s="100">
        <v>78</v>
      </c>
      <c r="C127" s="101" t="s">
        <v>413</v>
      </c>
      <c r="D127" s="377"/>
      <c r="E127" s="24"/>
    </row>
    <row r="128" spans="1:5" s="22" customFormat="1" ht="15" customHeight="1" x14ac:dyDescent="0.2">
      <c r="A128" s="26"/>
      <c r="B128" s="98"/>
      <c r="C128" s="99" t="s">
        <v>315</v>
      </c>
      <c r="D128" s="10" t="str">
        <f>IF(AND(ISNUMBER(D125),ISNUMBER(D126),ISNUMBER(D127)),SUM(D125:D127),"")</f>
        <v/>
      </c>
      <c r="E128" s="24"/>
    </row>
    <row r="129" spans="1:5" ht="45" customHeight="1" x14ac:dyDescent="0.25">
      <c r="A129" s="44" t="s">
        <v>113</v>
      </c>
      <c r="B129" s="81"/>
      <c r="C129" s="33"/>
      <c r="D129" s="34"/>
      <c r="E129" s="54"/>
    </row>
    <row r="130" spans="1:5" ht="15" customHeight="1" x14ac:dyDescent="0.2">
      <c r="A130" s="57"/>
      <c r="B130" s="29"/>
      <c r="C130" s="29"/>
      <c r="D130" s="87"/>
      <c r="E130" s="54"/>
    </row>
    <row r="131" spans="1:5" ht="30" customHeight="1" x14ac:dyDescent="0.2">
      <c r="A131" s="57"/>
      <c r="B131" s="60" t="s">
        <v>230</v>
      </c>
      <c r="C131" s="60" t="s">
        <v>227</v>
      </c>
      <c r="D131" s="60" t="s">
        <v>643</v>
      </c>
      <c r="E131" s="54"/>
    </row>
    <row r="132" spans="1:5" s="22" customFormat="1" ht="15" customHeight="1" x14ac:dyDescent="0.2">
      <c r="A132" s="26"/>
      <c r="B132" s="100">
        <v>79</v>
      </c>
      <c r="C132" s="104" t="s">
        <v>115</v>
      </c>
      <c r="D132" s="377"/>
      <c r="E132" s="24"/>
    </row>
    <row r="133" spans="1:5" s="22" customFormat="1" ht="15" customHeight="1" x14ac:dyDescent="0.2">
      <c r="A133" s="26"/>
      <c r="B133" s="100">
        <v>79</v>
      </c>
      <c r="C133" s="104" t="s">
        <v>753</v>
      </c>
      <c r="D133" s="377"/>
      <c r="E133" s="24"/>
    </row>
    <row r="134" spans="1:5" s="22" customFormat="1" ht="15" customHeight="1" x14ac:dyDescent="0.2">
      <c r="A134" s="26"/>
      <c r="B134" s="100">
        <v>79</v>
      </c>
      <c r="C134" s="104" t="s">
        <v>414</v>
      </c>
      <c r="D134" s="377"/>
      <c r="E134" s="24"/>
    </row>
    <row r="135" spans="1:5" ht="45" customHeight="1" x14ac:dyDescent="0.25">
      <c r="A135" s="44" t="s">
        <v>114</v>
      </c>
      <c r="B135" s="81"/>
      <c r="C135" s="33"/>
      <c r="D135" s="34"/>
      <c r="E135" s="54"/>
    </row>
    <row r="136" spans="1:5" ht="15" customHeight="1" x14ac:dyDescent="0.2">
      <c r="A136" s="57"/>
      <c r="B136" s="29"/>
      <c r="C136" s="29"/>
      <c r="D136" s="87"/>
      <c r="E136" s="54"/>
    </row>
    <row r="137" spans="1:5" ht="30" customHeight="1" x14ac:dyDescent="0.2">
      <c r="A137" s="57"/>
      <c r="B137" s="60" t="s">
        <v>230</v>
      </c>
      <c r="C137" s="60" t="s">
        <v>227</v>
      </c>
      <c r="D137" s="60" t="s">
        <v>643</v>
      </c>
      <c r="E137" s="54"/>
    </row>
    <row r="138" spans="1:5" s="22" customFormat="1" ht="15" customHeight="1" x14ac:dyDescent="0.2">
      <c r="A138" s="26"/>
      <c r="B138" s="98"/>
      <c r="C138" s="99" t="s">
        <v>302</v>
      </c>
      <c r="D138" s="14"/>
      <c r="E138" s="24"/>
    </row>
    <row r="139" spans="1:5" s="22" customFormat="1" ht="15" customHeight="1" x14ac:dyDescent="0.2">
      <c r="A139" s="26"/>
      <c r="B139" s="100">
        <v>73</v>
      </c>
      <c r="C139" s="106" t="s">
        <v>293</v>
      </c>
      <c r="D139" s="377"/>
      <c r="E139" s="24"/>
    </row>
    <row r="140" spans="1:5" s="22" customFormat="1" ht="15" customHeight="1" x14ac:dyDescent="0.2">
      <c r="A140" s="26"/>
      <c r="B140" s="100">
        <v>73</v>
      </c>
      <c r="C140" s="106" t="s">
        <v>339</v>
      </c>
      <c r="D140" s="377"/>
      <c r="E140" s="24"/>
    </row>
    <row r="141" spans="1:5" s="22" customFormat="1" ht="15" customHeight="1" x14ac:dyDescent="0.2">
      <c r="A141" s="26"/>
      <c r="B141" s="98"/>
      <c r="C141" s="107" t="s">
        <v>416</v>
      </c>
      <c r="D141" s="10" t="str">
        <f>IF(AND(ISNUMBER(D140),ISNUMBER(D139)),MAX(0, D140-D139),"")</f>
        <v/>
      </c>
      <c r="E141" s="24"/>
    </row>
    <row r="142" spans="1:5" s="22" customFormat="1" ht="15" customHeight="1" x14ac:dyDescent="0.2">
      <c r="A142" s="26"/>
      <c r="B142" s="100">
        <v>61</v>
      </c>
      <c r="C142" s="106" t="s">
        <v>417</v>
      </c>
      <c r="D142" s="377"/>
      <c r="E142" s="24"/>
    </row>
    <row r="143" spans="1:5" s="22" customFormat="1" ht="15" customHeight="1" x14ac:dyDescent="0.2">
      <c r="A143" s="26"/>
      <c r="B143" s="102"/>
      <c r="C143" s="107" t="s">
        <v>418</v>
      </c>
      <c r="D143" s="10" t="str">
        <f>IF(AND(ISNUMBER(D142),ISNUMBER(D139),ISNUMBER(D140)),MIN(D142, MAX(0, D139-D140)),"")</f>
        <v/>
      </c>
      <c r="E143" s="24"/>
    </row>
    <row r="144" spans="1:5" s="22" customFormat="1" ht="15" customHeight="1" x14ac:dyDescent="0.2">
      <c r="A144" s="26"/>
      <c r="B144" s="103"/>
      <c r="C144" s="99" t="s">
        <v>80</v>
      </c>
      <c r="D144" s="14"/>
      <c r="E144" s="24"/>
    </row>
    <row r="145" spans="1:5" s="22" customFormat="1" ht="15" customHeight="1" x14ac:dyDescent="0.2">
      <c r="A145" s="26"/>
      <c r="B145" s="100">
        <v>60</v>
      </c>
      <c r="C145" s="106" t="s">
        <v>294</v>
      </c>
      <c r="D145" s="377"/>
      <c r="E145" s="24"/>
    </row>
    <row r="146" spans="1:5" s="22" customFormat="1" ht="15" customHeight="1" x14ac:dyDescent="0.2">
      <c r="A146" s="26"/>
      <c r="B146" s="100">
        <v>60</v>
      </c>
      <c r="C146" s="106" t="s">
        <v>419</v>
      </c>
      <c r="D146" s="377"/>
      <c r="E146" s="24"/>
    </row>
    <row r="147" spans="1:5" s="22" customFormat="1" ht="15" customHeight="1" x14ac:dyDescent="0.2">
      <c r="A147" s="26"/>
      <c r="B147" s="102"/>
      <c r="C147" s="107" t="s">
        <v>420</v>
      </c>
      <c r="D147" s="10" t="str">
        <f>IF(AND(ISNUMBER(D145),ISNUMBER(D146)),MIN(D145,D146),"")</f>
        <v/>
      </c>
      <c r="E147" s="24"/>
    </row>
    <row r="148" spans="1:5" s="22" customFormat="1" ht="15" customHeight="1" x14ac:dyDescent="0.2">
      <c r="A148" s="26"/>
      <c r="B148" s="105"/>
      <c r="C148" s="99" t="s">
        <v>72</v>
      </c>
      <c r="D148" s="14"/>
      <c r="E148" s="24"/>
    </row>
    <row r="149" spans="1:5" s="22" customFormat="1" ht="15" customHeight="1" x14ac:dyDescent="0.2">
      <c r="A149" s="26"/>
      <c r="B149" s="105"/>
      <c r="C149" s="106" t="s">
        <v>294</v>
      </c>
      <c r="D149" s="377"/>
      <c r="E149" s="24"/>
    </row>
    <row r="150" spans="1:5" s="22" customFormat="1" ht="15" customHeight="1" x14ac:dyDescent="0.2">
      <c r="A150" s="26"/>
      <c r="B150" s="105"/>
      <c r="C150" s="106" t="s">
        <v>419</v>
      </c>
      <c r="D150" s="377"/>
      <c r="E150" s="24"/>
    </row>
    <row r="151" spans="1:5" s="22" customFormat="1" ht="15" customHeight="1" x14ac:dyDescent="0.2">
      <c r="A151" s="26"/>
      <c r="B151" s="105"/>
      <c r="C151" s="107" t="s">
        <v>421</v>
      </c>
      <c r="D151" s="10" t="str">
        <f>IF(AND(ISNUMBER(D149),ISNUMBER(D150)),MIN(D149,D150),"")</f>
        <v/>
      </c>
      <c r="E151" s="24"/>
    </row>
    <row r="152" spans="1:5" s="22" customFormat="1" ht="15" customHeight="1" x14ac:dyDescent="0.2">
      <c r="A152" s="26"/>
      <c r="B152" s="103"/>
      <c r="C152" s="108" t="s">
        <v>604</v>
      </c>
      <c r="D152" s="10" t="str">
        <f>IF(AND(ISNUMBER(D143),ISNUMBER(D147),ISNUMBER(D151)),D143+D147+D151,"")</f>
        <v/>
      </c>
      <c r="E152" s="24"/>
    </row>
    <row r="153" spans="1:5" ht="45" customHeight="1" x14ac:dyDescent="0.25">
      <c r="A153" s="44" t="s">
        <v>605</v>
      </c>
      <c r="B153" s="81"/>
      <c r="C153" s="33"/>
      <c r="D153" s="34"/>
      <c r="E153" s="54"/>
    </row>
    <row r="154" spans="1:5" ht="15" customHeight="1" x14ac:dyDescent="0.2">
      <c r="A154" s="57"/>
      <c r="B154" s="29"/>
      <c r="C154" s="29"/>
      <c r="D154" s="87"/>
      <c r="E154" s="54"/>
    </row>
    <row r="155" spans="1:5" ht="30" customHeight="1" x14ac:dyDescent="0.2">
      <c r="A155" s="57"/>
      <c r="B155" s="60" t="s">
        <v>230</v>
      </c>
      <c r="C155" s="60" t="s">
        <v>227</v>
      </c>
      <c r="D155" s="60" t="s">
        <v>643</v>
      </c>
      <c r="E155" s="54"/>
    </row>
    <row r="156" spans="1:5" s="22" customFormat="1" ht="15" customHeight="1" x14ac:dyDescent="0.2">
      <c r="A156" s="26"/>
      <c r="B156" s="98"/>
      <c r="C156" s="109" t="s">
        <v>754</v>
      </c>
      <c r="D156" s="7" t="str">
        <f>IF(AND(ISNUMBER(D157),ISNUMBER(D158),ISNUMBER(D159),ISNUMBER(D160)),SUM(D157:D160),"")</f>
        <v/>
      </c>
      <c r="E156" s="24"/>
    </row>
    <row r="157" spans="1:5" s="22" customFormat="1" ht="15" customHeight="1" x14ac:dyDescent="0.2">
      <c r="A157" s="26"/>
      <c r="B157" s="100" t="s">
        <v>649</v>
      </c>
      <c r="C157" s="110" t="s">
        <v>340</v>
      </c>
      <c r="D157" s="377"/>
      <c r="E157" s="24"/>
    </row>
    <row r="158" spans="1:5" s="22" customFormat="1" ht="30" customHeight="1" x14ac:dyDescent="0.2">
      <c r="A158" s="26"/>
      <c r="B158" s="100" t="s">
        <v>649</v>
      </c>
      <c r="C158" s="186" t="s">
        <v>387</v>
      </c>
      <c r="D158" s="377"/>
      <c r="E158" s="24"/>
    </row>
    <row r="159" spans="1:5" s="22" customFormat="1" ht="15" customHeight="1" x14ac:dyDescent="0.2">
      <c r="A159" s="26"/>
      <c r="B159" s="100" t="s">
        <v>649</v>
      </c>
      <c r="C159" s="110" t="s">
        <v>341</v>
      </c>
      <c r="D159" s="377"/>
      <c r="E159" s="24"/>
    </row>
    <row r="160" spans="1:5" s="22" customFormat="1" ht="15" customHeight="1" x14ac:dyDescent="0.2">
      <c r="A160" s="26"/>
      <c r="B160" s="100" t="s">
        <v>649</v>
      </c>
      <c r="C160" s="110" t="s">
        <v>349</v>
      </c>
      <c r="D160" s="377"/>
      <c r="E160" s="24"/>
    </row>
    <row r="161" spans="1:5" s="22" customFormat="1" ht="15" customHeight="1" x14ac:dyDescent="0.2">
      <c r="A161" s="26"/>
      <c r="B161" s="98"/>
      <c r="C161" s="99" t="s">
        <v>426</v>
      </c>
      <c r="D161" s="10" t="str">
        <f>IF(AND(ISNUMBER(D157),ISNUMBER(D158),ISNUMBER(D159)),D157+D158+D159,"")</f>
        <v/>
      </c>
      <c r="E161" s="24"/>
    </row>
    <row r="162" spans="1:5" ht="45" customHeight="1" x14ac:dyDescent="0.25">
      <c r="A162" s="44" t="s">
        <v>123</v>
      </c>
      <c r="B162" s="81"/>
      <c r="C162" s="33"/>
      <c r="D162" s="34"/>
      <c r="E162" s="54"/>
    </row>
    <row r="163" spans="1:5" ht="15" customHeight="1" x14ac:dyDescent="0.2">
      <c r="A163" s="57"/>
      <c r="B163" s="29"/>
      <c r="C163" s="29"/>
      <c r="D163" s="87"/>
      <c r="E163" s="54"/>
    </row>
    <row r="164" spans="1:5" ht="30" customHeight="1" x14ac:dyDescent="0.2">
      <c r="A164" s="57"/>
      <c r="B164" s="60" t="s">
        <v>230</v>
      </c>
      <c r="C164" s="60" t="s">
        <v>227</v>
      </c>
      <c r="D164" s="60" t="s">
        <v>643</v>
      </c>
      <c r="E164" s="54"/>
    </row>
    <row r="165" spans="1:5" s="22" customFormat="1" ht="30" customHeight="1" x14ac:dyDescent="0.2">
      <c r="A165" s="26"/>
      <c r="B165" s="100">
        <v>75</v>
      </c>
      <c r="C165" s="189" t="s">
        <v>429</v>
      </c>
      <c r="D165" s="128"/>
      <c r="E165" s="24"/>
    </row>
    <row r="166" spans="1:5" s="22" customFormat="1" ht="30" customHeight="1" x14ac:dyDescent="0.2">
      <c r="A166" s="26"/>
      <c r="B166" s="464" t="s">
        <v>249</v>
      </c>
      <c r="C166" s="465" t="s">
        <v>250</v>
      </c>
      <c r="D166" s="128"/>
      <c r="E166" s="24"/>
    </row>
    <row r="167" spans="1:5" s="22" customFormat="1" ht="15" customHeight="1" x14ac:dyDescent="0.2">
      <c r="A167" s="26"/>
      <c r="B167" s="98"/>
      <c r="C167" s="98"/>
      <c r="D167" s="98"/>
      <c r="E167" s="24"/>
    </row>
    <row r="168" spans="1:5" s="22" customFormat="1" ht="30" customHeight="1" x14ac:dyDescent="0.2">
      <c r="A168" s="26"/>
      <c r="B168" s="464" t="s">
        <v>249</v>
      </c>
      <c r="C168" s="466" t="s">
        <v>251</v>
      </c>
      <c r="D168" s="128"/>
      <c r="E168" s="24"/>
    </row>
    <row r="169" spans="1:5" ht="45" customHeight="1" x14ac:dyDescent="0.25">
      <c r="A169" s="44" t="s">
        <v>366</v>
      </c>
      <c r="B169" s="81"/>
      <c r="C169" s="33"/>
      <c r="D169" s="34"/>
      <c r="E169" s="54"/>
    </row>
    <row r="170" spans="1:5" ht="15" customHeight="1" x14ac:dyDescent="0.2">
      <c r="A170" s="57"/>
      <c r="B170" s="29"/>
      <c r="C170" s="29"/>
      <c r="D170" s="87"/>
      <c r="E170" s="54"/>
    </row>
    <row r="171" spans="1:5" ht="30" customHeight="1" x14ac:dyDescent="0.2">
      <c r="A171" s="57"/>
      <c r="B171" s="60" t="s">
        <v>230</v>
      </c>
      <c r="C171" s="60" t="s">
        <v>227</v>
      </c>
      <c r="D171" s="60" t="s">
        <v>643</v>
      </c>
      <c r="E171" s="54"/>
    </row>
    <row r="172" spans="1:5" s="22" customFormat="1" ht="15" customHeight="1" x14ac:dyDescent="0.2">
      <c r="A172" s="26"/>
      <c r="B172" s="100" t="s">
        <v>650</v>
      </c>
      <c r="C172" s="109" t="s">
        <v>350</v>
      </c>
      <c r="D172" s="377"/>
      <c r="E172" s="24"/>
    </row>
    <row r="173" spans="1:5" s="22" customFormat="1" ht="15" customHeight="1" x14ac:dyDescent="0.2">
      <c r="A173" s="26"/>
      <c r="B173" s="100" t="s">
        <v>650</v>
      </c>
      <c r="C173" s="109" t="s">
        <v>356</v>
      </c>
      <c r="D173" s="377"/>
      <c r="E173" s="24"/>
    </row>
    <row r="174" spans="1:5" s="22" customFormat="1" ht="15" customHeight="1" x14ac:dyDescent="0.2">
      <c r="A174" s="26"/>
      <c r="B174" s="100" t="s">
        <v>650</v>
      </c>
      <c r="C174" s="109" t="s">
        <v>498</v>
      </c>
      <c r="D174" s="377"/>
      <c r="E174" s="24"/>
    </row>
    <row r="175" spans="1:5" s="22" customFormat="1" ht="15" customHeight="1" x14ac:dyDescent="0.2">
      <c r="A175" s="26"/>
      <c r="B175" s="98"/>
      <c r="C175" s="111" t="s">
        <v>407</v>
      </c>
      <c r="D175" s="10" t="str">
        <f>IF(AND(ISNUMBER(D172),ISNUMBER(D173)),MAX(0,D172-D173),"")</f>
        <v/>
      </c>
      <c r="E175" s="24"/>
    </row>
    <row r="176" spans="1:5" ht="45" customHeight="1" x14ac:dyDescent="0.25">
      <c r="A176" s="44" t="s">
        <v>606</v>
      </c>
      <c r="B176" s="81"/>
      <c r="C176" s="33"/>
      <c r="D176" s="34"/>
      <c r="E176" s="54"/>
    </row>
    <row r="177" spans="1:5" ht="15" customHeight="1" x14ac:dyDescent="0.2">
      <c r="A177" s="57"/>
      <c r="B177" s="29"/>
      <c r="C177" s="29"/>
      <c r="D177" s="87"/>
      <c r="E177" s="54"/>
    </row>
    <row r="178" spans="1:5" ht="30" customHeight="1" x14ac:dyDescent="0.2">
      <c r="A178" s="57"/>
      <c r="B178" s="60" t="s">
        <v>230</v>
      </c>
      <c r="C178" s="60" t="s">
        <v>227</v>
      </c>
      <c r="D178" s="60" t="s">
        <v>643</v>
      </c>
      <c r="E178" s="54"/>
    </row>
    <row r="179" spans="1:5" s="22" customFormat="1" ht="15" customHeight="1" x14ac:dyDescent="0.2">
      <c r="A179" s="26"/>
      <c r="B179" s="100">
        <v>74</v>
      </c>
      <c r="C179" s="97" t="s">
        <v>89</v>
      </c>
      <c r="D179" s="377"/>
      <c r="E179" s="24"/>
    </row>
    <row r="180" spans="1:5" s="70" customFormat="1" ht="60" customHeight="1" x14ac:dyDescent="0.25">
      <c r="A180" s="823" t="s">
        <v>638</v>
      </c>
      <c r="B180" s="824"/>
      <c r="C180" s="824"/>
      <c r="D180" s="824"/>
      <c r="E180" s="458"/>
    </row>
    <row r="181" spans="1:5" ht="15" customHeight="1" x14ac:dyDescent="0.25">
      <c r="A181" s="57"/>
      <c r="B181" s="81"/>
      <c r="C181" s="33"/>
      <c r="D181" s="34"/>
      <c r="E181" s="54"/>
    </row>
    <row r="182" spans="1:5" ht="30" customHeight="1" x14ac:dyDescent="0.2">
      <c r="A182" s="57"/>
      <c r="B182" s="60" t="s">
        <v>230</v>
      </c>
      <c r="C182" s="60" t="s">
        <v>227</v>
      </c>
      <c r="D182" s="60" t="s">
        <v>643</v>
      </c>
      <c r="E182" s="54"/>
    </row>
    <row r="183" spans="1:5" s="22" customFormat="1" ht="15" customHeight="1" x14ac:dyDescent="0.2">
      <c r="A183" s="26"/>
      <c r="B183" s="100" t="s">
        <v>651</v>
      </c>
      <c r="C183" s="104" t="s">
        <v>186</v>
      </c>
      <c r="D183" s="377"/>
      <c r="E183" s="24"/>
    </row>
    <row r="184" spans="1:5" s="22" customFormat="1" ht="15" customHeight="1" x14ac:dyDescent="0.2">
      <c r="A184" s="26"/>
      <c r="B184" s="100" t="s">
        <v>651</v>
      </c>
      <c r="C184" s="13" t="s">
        <v>357</v>
      </c>
      <c r="D184" s="377"/>
      <c r="E184" s="24"/>
    </row>
    <row r="185" spans="1:5" s="22" customFormat="1" ht="15" customHeight="1" x14ac:dyDescent="0.2">
      <c r="A185" s="26"/>
      <c r="B185" s="98"/>
      <c r="C185" s="112" t="s">
        <v>209</v>
      </c>
      <c r="D185" s="10" t="str">
        <f>IF(AND(ISNUMBER(D183),ISNUMBER(D184)),MAX(0,D183-D184),"")</f>
        <v/>
      </c>
      <c r="E185" s="24"/>
    </row>
    <row r="186" spans="1:5" s="22" customFormat="1" ht="15" customHeight="1" x14ac:dyDescent="0.2">
      <c r="A186" s="26"/>
      <c r="B186" s="100" t="s">
        <v>651</v>
      </c>
      <c r="C186" s="104" t="s">
        <v>430</v>
      </c>
      <c r="D186" s="377"/>
      <c r="E186" s="24"/>
    </row>
    <row r="187" spans="1:5" s="22" customFormat="1" ht="15" customHeight="1" x14ac:dyDescent="0.2">
      <c r="A187" s="26"/>
      <c r="B187" s="100" t="s">
        <v>651</v>
      </c>
      <c r="C187" s="13" t="s">
        <v>357</v>
      </c>
      <c r="D187" s="377"/>
      <c r="E187" s="24"/>
    </row>
    <row r="188" spans="1:5" s="22" customFormat="1" ht="15" customHeight="1" x14ac:dyDescent="0.2">
      <c r="A188" s="26"/>
      <c r="B188" s="98"/>
      <c r="C188" s="112" t="s">
        <v>431</v>
      </c>
      <c r="D188" s="10" t="str">
        <f>IF(AND(ISNUMBER(D186),ISNUMBER(D187)),MAX(0,D186-D187),"")</f>
        <v/>
      </c>
      <c r="E188" s="24"/>
    </row>
    <row r="189" spans="1:5" s="22" customFormat="1" ht="15" customHeight="1" x14ac:dyDescent="0.2">
      <c r="A189" s="26"/>
      <c r="B189" s="100" t="s">
        <v>651</v>
      </c>
      <c r="C189" s="104" t="s">
        <v>432</v>
      </c>
      <c r="D189" s="377"/>
      <c r="E189" s="24"/>
    </row>
    <row r="190" spans="1:5" s="22" customFormat="1" ht="15" customHeight="1" x14ac:dyDescent="0.2">
      <c r="A190" s="26"/>
      <c r="B190" s="100" t="s">
        <v>651</v>
      </c>
      <c r="C190" s="88" t="s">
        <v>358</v>
      </c>
      <c r="D190" s="377"/>
      <c r="E190" s="24"/>
    </row>
    <row r="191" spans="1:5" s="22" customFormat="1" ht="15" customHeight="1" x14ac:dyDescent="0.2">
      <c r="A191" s="26"/>
      <c r="B191" s="98"/>
      <c r="C191" s="112" t="s">
        <v>433</v>
      </c>
      <c r="D191" s="10" t="str">
        <f>IF(AND(ISNUMBER(D189),ISNUMBER(D190)),MAX(0,D189-D190),"")</f>
        <v/>
      </c>
      <c r="E191" s="24"/>
    </row>
    <row r="192" spans="1:5" s="22" customFormat="1" ht="15" customHeight="1" x14ac:dyDescent="0.2">
      <c r="A192" s="26"/>
      <c r="B192" s="23"/>
      <c r="C192" s="113"/>
      <c r="D192" s="113"/>
      <c r="E192" s="24"/>
    </row>
    <row r="193" spans="1:5" s="22" customFormat="1" ht="15" customHeight="1" x14ac:dyDescent="0.2">
      <c r="A193" s="26"/>
      <c r="B193" s="102"/>
      <c r="C193" s="112" t="s">
        <v>610</v>
      </c>
      <c r="D193" s="10" t="str">
        <f>IF(AND(ISNUMBER(D185),ISNUMBER(D188),ISNUMBER(D191)),D185+D188+D191,"")</f>
        <v/>
      </c>
      <c r="E193" s="24"/>
    </row>
    <row r="194" spans="1:5" s="22" customFormat="1" ht="15" customHeight="1" x14ac:dyDescent="0.2">
      <c r="A194" s="26"/>
      <c r="B194" s="105"/>
      <c r="C194" s="104" t="s">
        <v>393</v>
      </c>
      <c r="D194" s="10" t="str">
        <f>IF(ISNUMBER(D53),MAX(D53,0),"")</f>
        <v/>
      </c>
      <c r="E194" s="24"/>
    </row>
    <row r="195" spans="1:5" s="22" customFormat="1" ht="30" customHeight="1" x14ac:dyDescent="0.2">
      <c r="A195" s="26"/>
      <c r="B195" s="105"/>
      <c r="C195" s="19" t="s">
        <v>497</v>
      </c>
      <c r="D195" s="10" t="str">
        <f>IF(AND(ISNUMBER(D193),ISNUMBER(D194)),MAX(0, D193-0.1*D194),"")</f>
        <v/>
      </c>
      <c r="E195" s="24"/>
    </row>
    <row r="196" spans="1:5" s="22" customFormat="1" ht="15" customHeight="1" x14ac:dyDescent="0.2">
      <c r="A196" s="26"/>
      <c r="B196" s="105"/>
      <c r="C196" s="112" t="s">
        <v>436</v>
      </c>
      <c r="D196" s="10" t="str">
        <f>IF(ISNUMBER(D193),IF(D193&gt;0, IF(AND(ISNUMBER(D195),ISNUMBER(D185)),D195*D185/D193,""), 0),"")</f>
        <v/>
      </c>
      <c r="E196" s="24"/>
    </row>
    <row r="197" spans="1:5" s="22" customFormat="1" ht="15" customHeight="1" x14ac:dyDescent="0.2">
      <c r="A197" s="26"/>
      <c r="B197" s="105"/>
      <c r="C197" s="112" t="s">
        <v>359</v>
      </c>
      <c r="D197" s="10" t="str">
        <f>IF(ISNUMBER(D193),IF(D193&gt;0, IF(AND(ISNUMBER(D195),ISNUMBER(D188)),D195*D188/D193,""), 0),"")</f>
        <v/>
      </c>
      <c r="E197" s="24"/>
    </row>
    <row r="198" spans="1:5" s="22" customFormat="1" ht="15" customHeight="1" x14ac:dyDescent="0.2">
      <c r="A198" s="26"/>
      <c r="B198" s="103"/>
      <c r="C198" s="112" t="s">
        <v>398</v>
      </c>
      <c r="D198" s="10" t="str">
        <f>IF(ISNUMBER(D193),IF(D193&gt;0, IF(AND(ISNUMBER(D195),ISNUMBER(D191)),D195*D191/D193,""), 0),"")</f>
        <v/>
      </c>
      <c r="E198" s="24"/>
    </row>
    <row r="199" spans="1:5" s="22" customFormat="1" ht="15" customHeight="1" x14ac:dyDescent="0.2">
      <c r="A199" s="26"/>
      <c r="B199" s="23"/>
      <c r="C199" s="113"/>
      <c r="D199" s="114"/>
      <c r="E199" s="24"/>
    </row>
    <row r="200" spans="1:5" s="22" customFormat="1" ht="15" customHeight="1" x14ac:dyDescent="0.2">
      <c r="A200" s="26"/>
      <c r="B200" s="102"/>
      <c r="C200" s="112" t="s">
        <v>434</v>
      </c>
      <c r="D200" s="14"/>
      <c r="E200" s="24"/>
    </row>
    <row r="201" spans="1:5" s="22" customFormat="1" ht="15" customHeight="1" x14ac:dyDescent="0.2">
      <c r="A201" s="26"/>
      <c r="B201" s="105"/>
      <c r="C201" s="115" t="s">
        <v>209</v>
      </c>
      <c r="D201" s="10" t="str">
        <f>IF(AND(ISNUMBER(D185),ISNUMBER(D196)),D185-D196,"")</f>
        <v/>
      </c>
      <c r="E201" s="24"/>
    </row>
    <row r="202" spans="1:5" s="22" customFormat="1" ht="15" customHeight="1" x14ac:dyDescent="0.2">
      <c r="A202" s="26"/>
      <c r="B202" s="105"/>
      <c r="C202" s="115" t="s">
        <v>431</v>
      </c>
      <c r="D202" s="10" t="str">
        <f>IF(AND(ISNUMBER(D188),ISNUMBER(D197)),D188-D197,"")</f>
        <v/>
      </c>
      <c r="E202" s="24"/>
    </row>
    <row r="203" spans="1:5" s="22" customFormat="1" ht="15" customHeight="1" x14ac:dyDescent="0.2">
      <c r="A203" s="26"/>
      <c r="B203" s="103"/>
      <c r="C203" s="115" t="s">
        <v>433</v>
      </c>
      <c r="D203" s="10" t="str">
        <f>IF(AND(ISNUMBER(D191),ISNUMBER(D198)),D191-D198,"")</f>
        <v/>
      </c>
      <c r="E203" s="24"/>
    </row>
    <row r="204" spans="1:5" s="22" customFormat="1" ht="15" customHeight="1" x14ac:dyDescent="0.2">
      <c r="A204" s="26"/>
      <c r="B204" s="23"/>
      <c r="C204" s="113"/>
      <c r="D204" s="114"/>
      <c r="E204" s="24"/>
    </row>
    <row r="205" spans="1:5" s="22" customFormat="1" ht="15" customHeight="1" x14ac:dyDescent="0.2">
      <c r="A205" s="26"/>
      <c r="B205" s="102"/>
      <c r="C205" s="112" t="str">
        <f>CONCATENATE("Total risk weighted assets of amounts not deducted (set out in cells D", ROW(D201), " to D", ROW(D203), "); of which amounts that relate to:")</f>
        <v>Total risk weighted assets of amounts not deducted (set out in cells D201 to D203); of which amounts that relate to:</v>
      </c>
      <c r="D205" s="14"/>
      <c r="E205" s="24"/>
    </row>
    <row r="206" spans="1:5" s="22" customFormat="1" ht="15" customHeight="1" x14ac:dyDescent="0.2">
      <c r="A206" s="26"/>
      <c r="B206" s="105"/>
      <c r="C206" s="115" t="str">
        <f>CONCATENATE("Holdings of common stock net of short positions (ie risk weighted assets of exposures in cell D", ROW(D201), ")")</f>
        <v>Holdings of common stock net of short positions (ie risk weighted assets of exposures in cell D201)</v>
      </c>
      <c r="D206" s="377"/>
      <c r="E206" s="24"/>
    </row>
    <row r="207" spans="1:5" s="22" customFormat="1" ht="15" customHeight="1" x14ac:dyDescent="0.2">
      <c r="A207" s="26"/>
      <c r="B207" s="105"/>
      <c r="C207" s="115" t="str">
        <f>CONCATENATE("Holdings of Additional Tier 1 capital net of short positions (ie risk weighted assets of exposures in cell D", ROW(D202), ")")</f>
        <v>Holdings of Additional Tier 1 capital net of short positions (ie risk weighted assets of exposures in cell D202)</v>
      </c>
      <c r="D207" s="377"/>
      <c r="E207" s="24"/>
    </row>
    <row r="208" spans="1:5" s="22" customFormat="1" ht="15" customHeight="1" x14ac:dyDescent="0.2">
      <c r="A208" s="26"/>
      <c r="B208" s="103"/>
      <c r="C208" s="115" t="str">
        <f>CONCATENATE("Holdings of Tier 2 capital net of short positions (ie risk weighted assets of exposures in cell D", ROW(D203),")")</f>
        <v>Holdings of Tier 2 capital net of short positions (ie risk weighted assets of exposures in cell D203)</v>
      </c>
      <c r="D208" s="377"/>
      <c r="E208" s="24"/>
    </row>
    <row r="209" spans="1:5" ht="60" customHeight="1" x14ac:dyDescent="0.25">
      <c r="A209" s="823" t="s">
        <v>435</v>
      </c>
      <c r="B209" s="824"/>
      <c r="C209" s="824"/>
      <c r="D209" s="824"/>
      <c r="E209" s="54"/>
    </row>
    <row r="210" spans="1:5" ht="15" customHeight="1" x14ac:dyDescent="0.2">
      <c r="A210" s="57"/>
      <c r="B210" s="29"/>
      <c r="C210" s="29"/>
      <c r="D210" s="87"/>
      <c r="E210" s="54"/>
    </row>
    <row r="211" spans="1:5" ht="30" customHeight="1" x14ac:dyDescent="0.2">
      <c r="A211" s="57"/>
      <c r="B211" s="60" t="s">
        <v>230</v>
      </c>
      <c r="C211" s="60" t="s">
        <v>227</v>
      </c>
      <c r="D211" s="60" t="s">
        <v>643</v>
      </c>
      <c r="E211" s="54"/>
    </row>
    <row r="212" spans="1:5" s="22" customFormat="1" ht="15" customHeight="1" x14ac:dyDescent="0.2">
      <c r="A212" s="26"/>
      <c r="B212" s="100" t="s">
        <v>652</v>
      </c>
      <c r="C212" s="104" t="s">
        <v>186</v>
      </c>
      <c r="D212" s="377"/>
      <c r="E212" s="24"/>
    </row>
    <row r="213" spans="1:5" s="22" customFormat="1" ht="15" customHeight="1" x14ac:dyDescent="0.2">
      <c r="A213" s="26"/>
      <c r="B213" s="100" t="s">
        <v>652</v>
      </c>
      <c r="C213" s="88" t="s">
        <v>357</v>
      </c>
      <c r="D213" s="377"/>
      <c r="E213" s="24"/>
    </row>
    <row r="214" spans="1:5" s="22" customFormat="1" ht="15" customHeight="1" x14ac:dyDescent="0.2">
      <c r="A214" s="26"/>
      <c r="B214" s="98"/>
      <c r="C214" s="112" t="s">
        <v>209</v>
      </c>
      <c r="D214" s="10" t="str">
        <f>IF(AND(ISNUMBER(D212),ISNUMBER(D213)),MAX(0,D212-D213),"")</f>
        <v/>
      </c>
      <c r="E214" s="24"/>
    </row>
    <row r="215" spans="1:5" s="22" customFormat="1" ht="15" customHeight="1" x14ac:dyDescent="0.2">
      <c r="A215" s="26"/>
      <c r="B215" s="100" t="s">
        <v>652</v>
      </c>
      <c r="C215" s="104" t="s">
        <v>430</v>
      </c>
      <c r="D215" s="377"/>
      <c r="E215" s="24"/>
    </row>
    <row r="216" spans="1:5" s="22" customFormat="1" ht="15" customHeight="1" x14ac:dyDescent="0.2">
      <c r="A216" s="26"/>
      <c r="B216" s="100" t="s">
        <v>652</v>
      </c>
      <c r="C216" s="88" t="s">
        <v>357</v>
      </c>
      <c r="D216" s="377"/>
      <c r="E216" s="24"/>
    </row>
    <row r="217" spans="1:5" s="22" customFormat="1" ht="15" customHeight="1" x14ac:dyDescent="0.2">
      <c r="A217" s="26"/>
      <c r="B217" s="98"/>
      <c r="C217" s="112" t="s">
        <v>431</v>
      </c>
      <c r="D217" s="10" t="str">
        <f>IF(AND(ISNUMBER(D215),ISNUMBER(D216)),MAX(0,D215-D216),"")</f>
        <v/>
      </c>
      <c r="E217" s="24"/>
    </row>
    <row r="218" spans="1:5" s="22" customFormat="1" ht="15" customHeight="1" x14ac:dyDescent="0.2">
      <c r="A218" s="26"/>
      <c r="B218" s="100" t="s">
        <v>652</v>
      </c>
      <c r="C218" s="104" t="s">
        <v>432</v>
      </c>
      <c r="D218" s="377"/>
      <c r="E218" s="24"/>
    </row>
    <row r="219" spans="1:5" s="22" customFormat="1" ht="15" customHeight="1" x14ac:dyDescent="0.2">
      <c r="A219" s="26"/>
      <c r="B219" s="100" t="s">
        <v>652</v>
      </c>
      <c r="C219" s="88" t="s">
        <v>357</v>
      </c>
      <c r="D219" s="377"/>
      <c r="E219" s="24"/>
    </row>
    <row r="220" spans="1:5" s="22" customFormat="1" ht="15" customHeight="1" x14ac:dyDescent="0.2">
      <c r="A220" s="26"/>
      <c r="B220" s="98"/>
      <c r="C220" s="112" t="s">
        <v>433</v>
      </c>
      <c r="D220" s="10" t="str">
        <f>IF(AND(ISNUMBER(D218),ISNUMBER(D219)),MAX(0,D218-D219),"")</f>
        <v/>
      </c>
      <c r="E220" s="24"/>
    </row>
    <row r="221" spans="1:5" s="22" customFormat="1" ht="15" customHeight="1" x14ac:dyDescent="0.2">
      <c r="A221" s="26"/>
      <c r="B221" s="23"/>
      <c r="C221" s="113"/>
      <c r="D221" s="113"/>
      <c r="E221" s="24"/>
    </row>
    <row r="222" spans="1:5" s="22" customFormat="1" ht="15" customHeight="1" x14ac:dyDescent="0.2">
      <c r="A222" s="26"/>
      <c r="B222" s="102"/>
      <c r="C222" s="104" t="s">
        <v>395</v>
      </c>
      <c r="D222" s="10" t="str">
        <f>IF(ISNUMBER(D55),MAX(D55,0),"")</f>
        <v/>
      </c>
      <c r="E222" s="24"/>
    </row>
    <row r="223" spans="1:5" s="22" customFormat="1" ht="15" customHeight="1" x14ac:dyDescent="0.2">
      <c r="A223" s="26"/>
      <c r="B223" s="105"/>
      <c r="C223" s="112" t="s">
        <v>360</v>
      </c>
      <c r="D223" s="10" t="str">
        <f>IF(AND(ISNUMBER(D214),ISNUMBER(D222)),MAX(0,D214-0.1*D222),"")</f>
        <v/>
      </c>
      <c r="E223" s="24"/>
    </row>
    <row r="224" spans="1:5" s="22" customFormat="1" ht="15" customHeight="1" x14ac:dyDescent="0.2">
      <c r="A224" s="26"/>
      <c r="B224" s="105"/>
      <c r="C224" s="112" t="s">
        <v>361</v>
      </c>
      <c r="D224" s="116" t="str">
        <f>IF(ISNUMBER(D217),D217,"")</f>
        <v/>
      </c>
      <c r="E224" s="24"/>
    </row>
    <row r="225" spans="1:5" s="22" customFormat="1" ht="15" customHeight="1" x14ac:dyDescent="0.2">
      <c r="A225" s="26"/>
      <c r="B225" s="103"/>
      <c r="C225" s="112" t="s">
        <v>522</v>
      </c>
      <c r="D225" s="10" t="str">
        <f>IF(ISNUMBER(D220),D220,"")</f>
        <v/>
      </c>
      <c r="E225" s="24"/>
    </row>
    <row r="226" spans="1:5" ht="45" customHeight="1" x14ac:dyDescent="0.25">
      <c r="A226" s="44" t="s">
        <v>187</v>
      </c>
      <c r="B226" s="81"/>
      <c r="C226" s="33"/>
      <c r="D226" s="34"/>
      <c r="E226" s="54"/>
    </row>
    <row r="227" spans="1:5" ht="15" customHeight="1" x14ac:dyDescent="0.2">
      <c r="A227" s="57"/>
      <c r="B227" s="29"/>
      <c r="C227" s="29"/>
      <c r="D227" s="87"/>
      <c r="E227" s="54"/>
    </row>
    <row r="228" spans="1:5" ht="30" customHeight="1" x14ac:dyDescent="0.2">
      <c r="A228" s="57"/>
      <c r="B228" s="60" t="s">
        <v>230</v>
      </c>
      <c r="C228" s="60" t="s">
        <v>227</v>
      </c>
      <c r="D228" s="60" t="s">
        <v>643</v>
      </c>
      <c r="E228" s="54"/>
    </row>
    <row r="229" spans="1:5" s="22" customFormat="1" ht="15" customHeight="1" x14ac:dyDescent="0.2">
      <c r="A229" s="26"/>
      <c r="B229" s="100">
        <v>87</v>
      </c>
      <c r="C229" s="104" t="s">
        <v>188</v>
      </c>
      <c r="D229" s="377"/>
      <c r="E229" s="24"/>
    </row>
    <row r="230" spans="1:5" s="22" customFormat="1" ht="15" customHeight="1" x14ac:dyDescent="0.2">
      <c r="A230" s="26"/>
      <c r="B230" s="100">
        <v>87</v>
      </c>
      <c r="C230" s="104" t="s">
        <v>71</v>
      </c>
      <c r="D230" s="377"/>
      <c r="E230" s="24"/>
    </row>
    <row r="231" spans="1:5" s="22" customFormat="1" ht="15" customHeight="1" x14ac:dyDescent="0.2">
      <c r="A231" s="26"/>
      <c r="B231" s="102"/>
      <c r="C231" s="112" t="s">
        <v>189</v>
      </c>
      <c r="D231" s="10" t="str">
        <f>IF(AND(ISNUMBER(D229),ISNUMBER(D230)),D229-D230,"")</f>
        <v/>
      </c>
      <c r="E231" s="24"/>
    </row>
    <row r="232" spans="1:5" s="22" customFormat="1" ht="15" customHeight="1" x14ac:dyDescent="0.2">
      <c r="A232" s="26"/>
      <c r="B232" s="105"/>
      <c r="C232" s="104" t="s">
        <v>396</v>
      </c>
      <c r="D232" s="10" t="str">
        <f>IF(ISNUMBER(D55),MAX(D55,0),"")</f>
        <v/>
      </c>
      <c r="E232" s="24"/>
    </row>
    <row r="233" spans="1:5" s="22" customFormat="1" ht="15" customHeight="1" x14ac:dyDescent="0.2">
      <c r="A233" s="26"/>
      <c r="B233" s="103"/>
      <c r="C233" s="112" t="s">
        <v>360</v>
      </c>
      <c r="D233" s="10" t="str">
        <f>IF(AND(ISNUMBER(D231),ISNUMBER(D232)),MAX(0,D231-0.1*D232),"")</f>
        <v/>
      </c>
      <c r="E233" s="24"/>
    </row>
    <row r="234" spans="1:5" ht="45" customHeight="1" x14ac:dyDescent="0.25">
      <c r="A234" s="44" t="s">
        <v>362</v>
      </c>
      <c r="B234" s="81"/>
      <c r="C234" s="33"/>
      <c r="D234" s="34"/>
      <c r="E234" s="54"/>
    </row>
    <row r="235" spans="1:5" ht="15" customHeight="1" x14ac:dyDescent="0.2">
      <c r="A235" s="57"/>
      <c r="B235" s="29"/>
      <c r="C235" s="29"/>
      <c r="D235" s="60" t="s">
        <v>643</v>
      </c>
      <c r="E235" s="54"/>
    </row>
    <row r="236" spans="1:5" s="22" customFormat="1" ht="15" customHeight="1" x14ac:dyDescent="0.2">
      <c r="A236" s="26"/>
      <c r="B236" s="102"/>
      <c r="C236" s="104" t="s">
        <v>363</v>
      </c>
      <c r="D236" s="10" t="str">
        <f>IF(ISNUMBER(D113),D113,"")</f>
        <v/>
      </c>
      <c r="E236" s="24"/>
    </row>
    <row r="237" spans="1:5" s="22" customFormat="1" ht="15" customHeight="1" x14ac:dyDescent="0.2">
      <c r="A237" s="26"/>
      <c r="B237" s="105"/>
      <c r="C237" s="104" t="s">
        <v>397</v>
      </c>
      <c r="D237" s="10" t="str">
        <f>IF(ISNUMBER(D55),MAX(D55,0),"")</f>
        <v/>
      </c>
      <c r="E237" s="24"/>
    </row>
    <row r="238" spans="1:5" s="22" customFormat="1" ht="15" customHeight="1" x14ac:dyDescent="0.2">
      <c r="A238" s="26"/>
      <c r="B238" s="103"/>
      <c r="C238" s="112" t="s">
        <v>360</v>
      </c>
      <c r="D238" s="10" t="str">
        <f>IF(AND(ISNUMBER(D236),ISNUMBER(D237)),MAX(0,D236-0.1*D237),"")</f>
        <v/>
      </c>
      <c r="E238" s="24"/>
    </row>
    <row r="239" spans="1:5" ht="45" customHeight="1" x14ac:dyDescent="0.25">
      <c r="A239" s="44" t="s">
        <v>105</v>
      </c>
      <c r="B239" s="81"/>
      <c r="C239" s="33"/>
      <c r="D239" s="34"/>
      <c r="E239" s="54"/>
    </row>
    <row r="240" spans="1:5" ht="15" customHeight="1" x14ac:dyDescent="0.2">
      <c r="A240" s="57"/>
      <c r="B240" s="29"/>
      <c r="C240" s="29"/>
      <c r="D240" s="60" t="s">
        <v>643</v>
      </c>
      <c r="E240" s="54"/>
    </row>
    <row r="241" spans="1:5" s="22" customFormat="1" ht="15" customHeight="1" x14ac:dyDescent="0.2">
      <c r="A241" s="26"/>
      <c r="B241" s="102"/>
      <c r="C241" s="104" t="s">
        <v>287</v>
      </c>
      <c r="D241" s="10" t="str">
        <f>IF(AND(ISNUMBER(D214),ISNUMBER(D223)),D214-D223,"")</f>
        <v/>
      </c>
      <c r="E241" s="24"/>
    </row>
    <row r="242" spans="1:5" s="22" customFormat="1" ht="15" customHeight="1" x14ac:dyDescent="0.2">
      <c r="A242" s="26"/>
      <c r="B242" s="105"/>
      <c r="C242" s="104" t="s">
        <v>288</v>
      </c>
      <c r="D242" s="10" t="str">
        <f>IF(AND(ISNUMBER(D231),ISNUMBER(D233)),D231-D233,"")</f>
        <v/>
      </c>
      <c r="E242" s="24"/>
    </row>
    <row r="243" spans="1:5" s="22" customFormat="1" ht="15" customHeight="1" x14ac:dyDescent="0.2">
      <c r="A243" s="26"/>
      <c r="B243" s="105"/>
      <c r="C243" s="104" t="s">
        <v>289</v>
      </c>
      <c r="D243" s="10" t="str">
        <f>IF(AND(ISNUMBER(D236),ISNUMBER(D238)),D236-D238,"")</f>
        <v/>
      </c>
      <c r="E243" s="24"/>
    </row>
    <row r="244" spans="1:5" s="22" customFormat="1" ht="15" customHeight="1" x14ac:dyDescent="0.2">
      <c r="A244" s="26"/>
      <c r="B244" s="105"/>
      <c r="C244" s="112" t="s">
        <v>444</v>
      </c>
      <c r="D244" s="10" t="str">
        <f>IF(AND(ISNUMBER(D241),ISNUMBER(D242),ISNUMBER(D243)),SUM(D241:D243),"")</f>
        <v/>
      </c>
      <c r="E244" s="24"/>
    </row>
    <row r="245" spans="1:5" s="22" customFormat="1" ht="15" customHeight="1" x14ac:dyDescent="0.2">
      <c r="A245" s="26"/>
      <c r="B245" s="103"/>
      <c r="C245" s="112" t="s">
        <v>445</v>
      </c>
      <c r="D245" s="10" t="str">
        <f>IF(AND(ISNUMBER(D244),ISNUMBER(D61)),MAX(0,(D244-0.15*MAX(D61,0))/0.85),"")</f>
        <v/>
      </c>
      <c r="E245" s="24"/>
    </row>
    <row r="246" spans="1:5" s="22" customFormat="1" ht="15" customHeight="1" x14ac:dyDescent="0.2">
      <c r="A246" s="26"/>
      <c r="B246" s="25"/>
      <c r="C246" s="25"/>
      <c r="D246" s="25"/>
      <c r="E246" s="24"/>
    </row>
    <row r="247" spans="1:5" s="22" customFormat="1" ht="15" customHeight="1" x14ac:dyDescent="0.2">
      <c r="A247" s="26"/>
      <c r="B247" s="102"/>
      <c r="C247" s="112" t="s">
        <v>303</v>
      </c>
      <c r="D247" s="14"/>
      <c r="E247" s="24"/>
    </row>
    <row r="248" spans="1:5" s="22" customFormat="1" ht="15" customHeight="1" x14ac:dyDescent="0.2">
      <c r="A248" s="26"/>
      <c r="B248" s="105"/>
      <c r="C248" s="115" t="s">
        <v>290</v>
      </c>
      <c r="D248" s="10" t="str">
        <f>IF(ISNUMBER(D244),IF(D244&gt;0, IF(AND(ISNUMBER(D241),ISNUMBER(D245)),D241-(D241/D244)*D245,""), 0),"")</f>
        <v/>
      </c>
      <c r="E248" s="24"/>
    </row>
    <row r="249" spans="1:5" s="22" customFormat="1" ht="15" customHeight="1" x14ac:dyDescent="0.2">
      <c r="A249" s="26"/>
      <c r="B249" s="105"/>
      <c r="C249" s="115" t="s">
        <v>291</v>
      </c>
      <c r="D249" s="10" t="str">
        <f>IF(ISNUMBER(D244),IF(D244&gt;0, IF(AND(ISNUMBER(D242),ISNUMBER(D245)),D242-(D242/D244)*D245,""), 0),"")</f>
        <v/>
      </c>
      <c r="E249" s="24"/>
    </row>
    <row r="250" spans="1:5" s="22" customFormat="1" ht="15" customHeight="1" x14ac:dyDescent="0.2">
      <c r="A250" s="26"/>
      <c r="B250" s="105"/>
      <c r="C250" s="115" t="s">
        <v>218</v>
      </c>
      <c r="D250" s="10" t="str">
        <f>IF(ISNUMBER(D244),IF(D244&gt;0, IF(AND(ISNUMBER(D243),ISNUMBER(D245)),D243-(D243/D244)*D245,""), 0),"")</f>
        <v/>
      </c>
      <c r="E250" s="24"/>
    </row>
    <row r="251" spans="1:5" s="22" customFormat="1" ht="15" customHeight="1" x14ac:dyDescent="0.2">
      <c r="A251" s="26"/>
      <c r="B251" s="103"/>
      <c r="C251" s="115" t="s">
        <v>577</v>
      </c>
      <c r="D251" s="10" t="str">
        <f>IF(AND(ISNUMBER(D248),ISNUMBER(D249),ISNUMBER(D250)),SUM(D248:D250),"")</f>
        <v/>
      </c>
      <c r="E251" s="24"/>
    </row>
    <row r="252" spans="1:5" ht="15" customHeight="1" x14ac:dyDescent="0.2">
      <c r="A252" s="86"/>
      <c r="B252" s="55"/>
      <c r="C252" s="55"/>
      <c r="D252" s="55"/>
      <c r="E252" s="56"/>
    </row>
  </sheetData>
  <dataConsolidate/>
  <mergeCells count="2">
    <mergeCell ref="A180:D180"/>
    <mergeCell ref="A209:D209"/>
  </mergeCells>
  <phoneticPr fontId="8" type="noConversion"/>
  <conditionalFormatting sqref="D68:D69 D206:D208 D92:D93 D98:D99 D105:D106 D110:D111 D108 D117:D119 D121:D123 D125:D127 D132:D134 D139:D140 D142 D145:D146 D149:D150 D80:D81 D30 D172:D174 D179 D183:D184 D186:D187 D189:D190 D212:D213 D215:D216 D218:D219 D229:D230 D41">
    <cfRule type="cellIs" dxfId="218" priority="4"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25" max="4" man="1"/>
    <brk id="63" max="4" man="1"/>
    <brk id="100" max="4" man="1"/>
    <brk id="134" max="4" man="1"/>
    <brk id="175" max="4" man="1"/>
    <brk id="20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AI32"/>
  <sheetViews>
    <sheetView zoomScale="75" zoomScaleNormal="75" workbookViewId="0"/>
  </sheetViews>
  <sheetFormatPr defaultColWidth="8.85546875" defaultRowHeight="15" customHeight="1" x14ac:dyDescent="0.2"/>
  <cols>
    <col min="1" max="1" width="1.7109375" customWidth="1"/>
    <col min="2" max="2" width="10.7109375" customWidth="1"/>
    <col min="3" max="3" width="200.7109375" customWidth="1"/>
    <col min="4" max="34" width="16.7109375" customWidth="1"/>
    <col min="35" max="35" width="1.7109375" customWidth="1"/>
  </cols>
  <sheetData>
    <row r="1" spans="1:35" ht="30" customHeight="1" x14ac:dyDescent="0.4">
      <c r="A1" s="62" t="s">
        <v>139</v>
      </c>
      <c r="B1" s="72"/>
      <c r="C1" s="63"/>
      <c r="D1" s="187"/>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59"/>
    </row>
    <row r="2" spans="1:35" ht="30" customHeight="1" x14ac:dyDescent="0.25">
      <c r="A2" s="52" t="s">
        <v>106</v>
      </c>
      <c r="B2" s="85"/>
      <c r="C2" s="48"/>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59"/>
    </row>
    <row r="3" spans="1:35" ht="45" customHeight="1" x14ac:dyDescent="0.25">
      <c r="A3" s="57"/>
      <c r="B3" s="29" t="s">
        <v>364</v>
      </c>
      <c r="C3" s="33"/>
      <c r="D3" s="34"/>
      <c r="E3" s="82"/>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4"/>
    </row>
    <row r="4" spans="1:35" ht="30" customHeight="1" x14ac:dyDescent="0.2">
      <c r="A4" s="57"/>
      <c r="B4" s="60" t="s">
        <v>230</v>
      </c>
      <c r="C4" s="60" t="s">
        <v>227</v>
      </c>
      <c r="D4" s="60" t="s">
        <v>643</v>
      </c>
      <c r="E4" s="84">
        <v>1</v>
      </c>
      <c r="F4" s="84">
        <v>2</v>
      </c>
      <c r="G4" s="84">
        <v>3</v>
      </c>
      <c r="H4" s="84">
        <v>4</v>
      </c>
      <c r="I4" s="84">
        <v>5</v>
      </c>
      <c r="J4" s="84">
        <v>6</v>
      </c>
      <c r="K4" s="84">
        <v>7</v>
      </c>
      <c r="L4" s="84">
        <v>8</v>
      </c>
      <c r="M4" s="84">
        <v>9</v>
      </c>
      <c r="N4" s="84">
        <v>10</v>
      </c>
      <c r="O4" s="84">
        <v>11</v>
      </c>
      <c r="P4" s="84">
        <v>12</v>
      </c>
      <c r="Q4" s="84">
        <v>13</v>
      </c>
      <c r="R4" s="84">
        <v>14</v>
      </c>
      <c r="S4" s="84">
        <v>15</v>
      </c>
      <c r="T4" s="84">
        <v>16</v>
      </c>
      <c r="U4" s="84">
        <v>17</v>
      </c>
      <c r="V4" s="84">
        <v>18</v>
      </c>
      <c r="W4" s="84">
        <v>19</v>
      </c>
      <c r="X4" s="84">
        <v>20</v>
      </c>
      <c r="Y4" s="84">
        <v>21</v>
      </c>
      <c r="Z4" s="84">
        <v>22</v>
      </c>
      <c r="AA4" s="84">
        <v>23</v>
      </c>
      <c r="AB4" s="84">
        <v>24</v>
      </c>
      <c r="AC4" s="84">
        <v>25</v>
      </c>
      <c r="AD4" s="84">
        <v>26</v>
      </c>
      <c r="AE4" s="84">
        <v>27</v>
      </c>
      <c r="AF4" s="84">
        <v>28</v>
      </c>
      <c r="AG4" s="84">
        <v>29</v>
      </c>
      <c r="AH4" s="84">
        <v>30</v>
      </c>
      <c r="AI4" s="54"/>
    </row>
    <row r="5" spans="1:35" s="22" customFormat="1" ht="30" customHeight="1" x14ac:dyDescent="0.2">
      <c r="A5" s="26"/>
      <c r="B5" s="100">
        <v>62</v>
      </c>
      <c r="C5" s="9" t="s">
        <v>755</v>
      </c>
      <c r="D5" s="11"/>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24"/>
    </row>
    <row r="6" spans="1:35" s="22" customFormat="1" ht="15" customHeight="1" x14ac:dyDescent="0.2">
      <c r="A6" s="26"/>
      <c r="B6" s="100">
        <v>62</v>
      </c>
      <c r="C6" s="188" t="s">
        <v>96</v>
      </c>
      <c r="D6" s="8"/>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24"/>
    </row>
    <row r="7" spans="1:35" s="22" customFormat="1" ht="15" customHeight="1" x14ac:dyDescent="0.2">
      <c r="A7" s="26"/>
      <c r="B7" s="100">
        <v>62</v>
      </c>
      <c r="C7" s="188" t="s">
        <v>97</v>
      </c>
      <c r="D7" s="8"/>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24"/>
    </row>
    <row r="8" spans="1:35" s="22" customFormat="1" ht="15" customHeight="1" x14ac:dyDescent="0.2">
      <c r="A8" s="26"/>
      <c r="B8" s="100">
        <v>63</v>
      </c>
      <c r="C8" s="118" t="s">
        <v>756</v>
      </c>
      <c r="D8" s="8"/>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24"/>
    </row>
    <row r="9" spans="1:35" s="22" customFormat="1" ht="15" customHeight="1" x14ac:dyDescent="0.2">
      <c r="A9" s="26"/>
      <c r="B9" s="100">
        <v>63</v>
      </c>
      <c r="C9" s="188" t="s">
        <v>96</v>
      </c>
      <c r="D9" s="8"/>
      <c r="E9" s="377"/>
      <c r="F9" s="377"/>
      <c r="G9" s="377"/>
      <c r="H9" s="377"/>
      <c r="I9" s="377"/>
      <c r="J9" s="377"/>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24"/>
    </row>
    <row r="10" spans="1:35" s="22" customFormat="1" ht="15" customHeight="1" x14ac:dyDescent="0.2">
      <c r="A10" s="26"/>
      <c r="B10" s="100">
        <v>63</v>
      </c>
      <c r="C10" s="188" t="s">
        <v>97</v>
      </c>
      <c r="D10" s="8"/>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24"/>
    </row>
    <row r="11" spans="1:35" s="22" customFormat="1" ht="15" customHeight="1" x14ac:dyDescent="0.2">
      <c r="A11" s="26"/>
      <c r="B11" s="100">
        <v>64</v>
      </c>
      <c r="C11" s="118" t="s">
        <v>757</v>
      </c>
      <c r="D11" s="8"/>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24"/>
    </row>
    <row r="12" spans="1:35" s="22" customFormat="1" ht="15" customHeight="1" x14ac:dyDescent="0.2">
      <c r="A12" s="26"/>
      <c r="B12" s="100">
        <v>64</v>
      </c>
      <c r="C12" s="188" t="s">
        <v>96</v>
      </c>
      <c r="D12" s="8"/>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24"/>
    </row>
    <row r="13" spans="1:35" s="22" customFormat="1" ht="15" customHeight="1" x14ac:dyDescent="0.2">
      <c r="A13" s="26"/>
      <c r="B13" s="100">
        <v>64</v>
      </c>
      <c r="C13" s="188" t="s">
        <v>97</v>
      </c>
      <c r="D13" s="8"/>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24"/>
    </row>
    <row r="14" spans="1:35" s="22" customFormat="1" ht="15" customHeight="1" x14ac:dyDescent="0.2">
      <c r="A14" s="26"/>
      <c r="B14" s="100" t="s">
        <v>653</v>
      </c>
      <c r="C14" s="118" t="s">
        <v>499</v>
      </c>
      <c r="D14" s="8"/>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24"/>
    </row>
    <row r="15" spans="1:35" s="22" customFormat="1" ht="15" customHeight="1" x14ac:dyDescent="0.2">
      <c r="A15" s="26"/>
      <c r="B15" s="100" t="s">
        <v>653</v>
      </c>
      <c r="C15" s="117" t="s">
        <v>520</v>
      </c>
      <c r="D15" s="8"/>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24"/>
    </row>
    <row r="16" spans="1:35" s="22" customFormat="1" ht="15" customHeight="1" x14ac:dyDescent="0.2">
      <c r="A16" s="26"/>
      <c r="B16" s="102"/>
      <c r="C16" s="117" t="s">
        <v>521</v>
      </c>
      <c r="D16" s="8"/>
      <c r="E16" s="7">
        <f>MIN(E14,E15)</f>
        <v>0</v>
      </c>
      <c r="F16" s="7">
        <f>MIN(F14,F15)</f>
        <v>0</v>
      </c>
      <c r="G16" s="7">
        <f t="shared" ref="G16:AH16" si="0">MIN(G14,G15)</f>
        <v>0</v>
      </c>
      <c r="H16" s="7">
        <f t="shared" si="0"/>
        <v>0</v>
      </c>
      <c r="I16" s="7">
        <f t="shared" si="0"/>
        <v>0</v>
      </c>
      <c r="J16" s="7">
        <f t="shared" si="0"/>
        <v>0</v>
      </c>
      <c r="K16" s="7">
        <f t="shared" si="0"/>
        <v>0</v>
      </c>
      <c r="L16" s="7">
        <f t="shared" si="0"/>
        <v>0</v>
      </c>
      <c r="M16" s="7">
        <f t="shared" si="0"/>
        <v>0</v>
      </c>
      <c r="N16" s="7">
        <f t="shared" si="0"/>
        <v>0</v>
      </c>
      <c r="O16" s="7">
        <f t="shared" si="0"/>
        <v>0</v>
      </c>
      <c r="P16" s="7">
        <f t="shared" si="0"/>
        <v>0</v>
      </c>
      <c r="Q16" s="7">
        <f t="shared" si="0"/>
        <v>0</v>
      </c>
      <c r="R16" s="7">
        <f t="shared" si="0"/>
        <v>0</v>
      </c>
      <c r="S16" s="7">
        <f t="shared" si="0"/>
        <v>0</v>
      </c>
      <c r="T16" s="7">
        <f t="shared" si="0"/>
        <v>0</v>
      </c>
      <c r="U16" s="7">
        <f t="shared" si="0"/>
        <v>0</v>
      </c>
      <c r="V16" s="7">
        <f t="shared" si="0"/>
        <v>0</v>
      </c>
      <c r="W16" s="7">
        <f t="shared" si="0"/>
        <v>0</v>
      </c>
      <c r="X16" s="7">
        <f t="shared" si="0"/>
        <v>0</v>
      </c>
      <c r="Y16" s="7">
        <f t="shared" si="0"/>
        <v>0</v>
      </c>
      <c r="Z16" s="7">
        <f t="shared" si="0"/>
        <v>0</v>
      </c>
      <c r="AA16" s="7">
        <f t="shared" si="0"/>
        <v>0</v>
      </c>
      <c r="AB16" s="7">
        <f t="shared" si="0"/>
        <v>0</v>
      </c>
      <c r="AC16" s="7">
        <f t="shared" si="0"/>
        <v>0</v>
      </c>
      <c r="AD16" s="7">
        <f t="shared" si="0"/>
        <v>0</v>
      </c>
      <c r="AE16" s="7">
        <f t="shared" si="0"/>
        <v>0</v>
      </c>
      <c r="AF16" s="7">
        <f t="shared" si="0"/>
        <v>0</v>
      </c>
      <c r="AG16" s="7">
        <f t="shared" si="0"/>
        <v>0</v>
      </c>
      <c r="AH16" s="7">
        <f t="shared" si="0"/>
        <v>0</v>
      </c>
      <c r="AI16" s="24"/>
    </row>
    <row r="17" spans="1:35" s="22" customFormat="1" ht="15" customHeight="1" x14ac:dyDescent="0.2">
      <c r="A17" s="26"/>
      <c r="B17" s="105"/>
      <c r="C17" s="99" t="s">
        <v>446</v>
      </c>
      <c r="D17" s="529"/>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c r="AI17" s="24"/>
    </row>
    <row r="18" spans="1:35" s="22" customFormat="1" ht="15" customHeight="1" x14ac:dyDescent="0.2">
      <c r="A18" s="26"/>
      <c r="B18" s="105"/>
      <c r="C18" s="117" t="s">
        <v>453</v>
      </c>
      <c r="D18" s="8"/>
      <c r="E18" s="7">
        <f>MAX(0,E5-0.07*E16)</f>
        <v>0</v>
      </c>
      <c r="F18" s="7">
        <f>MAX(0,F5-0.07*F16)</f>
        <v>0</v>
      </c>
      <c r="G18" s="7">
        <f t="shared" ref="G18:AF18" si="1">MAX(0,G5-0.07*G16)</f>
        <v>0</v>
      </c>
      <c r="H18" s="7">
        <f t="shared" si="1"/>
        <v>0</v>
      </c>
      <c r="I18" s="7">
        <f t="shared" si="1"/>
        <v>0</v>
      </c>
      <c r="J18" s="7">
        <f t="shared" si="1"/>
        <v>0</v>
      </c>
      <c r="K18" s="7">
        <f t="shared" si="1"/>
        <v>0</v>
      </c>
      <c r="L18" s="7">
        <f t="shared" si="1"/>
        <v>0</v>
      </c>
      <c r="M18" s="7">
        <f t="shared" si="1"/>
        <v>0</v>
      </c>
      <c r="N18" s="7">
        <f t="shared" si="1"/>
        <v>0</v>
      </c>
      <c r="O18" s="7">
        <f t="shared" si="1"/>
        <v>0</v>
      </c>
      <c r="P18" s="7">
        <f t="shared" si="1"/>
        <v>0</v>
      </c>
      <c r="Q18" s="7">
        <f t="shared" si="1"/>
        <v>0</v>
      </c>
      <c r="R18" s="7">
        <f t="shared" si="1"/>
        <v>0</v>
      </c>
      <c r="S18" s="7">
        <f t="shared" si="1"/>
        <v>0</v>
      </c>
      <c r="T18" s="7">
        <f t="shared" si="1"/>
        <v>0</v>
      </c>
      <c r="U18" s="7">
        <f t="shared" si="1"/>
        <v>0</v>
      </c>
      <c r="V18" s="7">
        <f t="shared" si="1"/>
        <v>0</v>
      </c>
      <c r="W18" s="7">
        <f t="shared" si="1"/>
        <v>0</v>
      </c>
      <c r="X18" s="7">
        <f t="shared" si="1"/>
        <v>0</v>
      </c>
      <c r="Y18" s="7">
        <f t="shared" si="1"/>
        <v>0</v>
      </c>
      <c r="Z18" s="7">
        <f t="shared" si="1"/>
        <v>0</v>
      </c>
      <c r="AA18" s="7">
        <f t="shared" si="1"/>
        <v>0</v>
      </c>
      <c r="AB18" s="7">
        <f t="shared" si="1"/>
        <v>0</v>
      </c>
      <c r="AC18" s="7">
        <f t="shared" si="1"/>
        <v>0</v>
      </c>
      <c r="AD18" s="7">
        <f t="shared" si="1"/>
        <v>0</v>
      </c>
      <c r="AE18" s="7">
        <f t="shared" si="1"/>
        <v>0</v>
      </c>
      <c r="AF18" s="7">
        <f t="shared" si="1"/>
        <v>0</v>
      </c>
      <c r="AG18" s="7">
        <f>MAX(0,AG5-0.07*AG16)</f>
        <v>0</v>
      </c>
      <c r="AH18" s="7">
        <f>MAX(0,AH5-0.07*AH16)</f>
        <v>0</v>
      </c>
      <c r="AI18" s="24"/>
    </row>
    <row r="19" spans="1:35" s="22" customFormat="1" ht="15" customHeight="1" x14ac:dyDescent="0.2">
      <c r="A19" s="26"/>
      <c r="B19" s="105"/>
      <c r="C19" s="115" t="s">
        <v>365</v>
      </c>
      <c r="D19" s="8"/>
      <c r="E19" s="7">
        <f>IF(E6+E7&gt;0, E18*E7/(E6+E7), 0)</f>
        <v>0</v>
      </c>
      <c r="F19" s="7">
        <f t="shared" ref="F19:AH19" si="2">IF(F6+F7&gt;0, F18*F7/(F6+F7), 0)</f>
        <v>0</v>
      </c>
      <c r="G19" s="7">
        <f t="shared" si="2"/>
        <v>0</v>
      </c>
      <c r="H19" s="7">
        <f t="shared" si="2"/>
        <v>0</v>
      </c>
      <c r="I19" s="7">
        <f t="shared" si="2"/>
        <v>0</v>
      </c>
      <c r="J19" s="7">
        <f t="shared" si="2"/>
        <v>0</v>
      </c>
      <c r="K19" s="7">
        <f t="shared" si="2"/>
        <v>0</v>
      </c>
      <c r="L19" s="7">
        <f t="shared" si="2"/>
        <v>0</v>
      </c>
      <c r="M19" s="7">
        <f t="shared" si="2"/>
        <v>0</v>
      </c>
      <c r="N19" s="7">
        <f t="shared" si="2"/>
        <v>0</v>
      </c>
      <c r="O19" s="7">
        <f t="shared" si="2"/>
        <v>0</v>
      </c>
      <c r="P19" s="7">
        <f t="shared" si="2"/>
        <v>0</v>
      </c>
      <c r="Q19" s="7">
        <f t="shared" si="2"/>
        <v>0</v>
      </c>
      <c r="R19" s="7">
        <f t="shared" si="2"/>
        <v>0</v>
      </c>
      <c r="S19" s="7">
        <f t="shared" si="2"/>
        <v>0</v>
      </c>
      <c r="T19" s="7">
        <f t="shared" si="2"/>
        <v>0</v>
      </c>
      <c r="U19" s="7">
        <f t="shared" si="2"/>
        <v>0</v>
      </c>
      <c r="V19" s="7">
        <f t="shared" si="2"/>
        <v>0</v>
      </c>
      <c r="W19" s="7">
        <f t="shared" si="2"/>
        <v>0</v>
      </c>
      <c r="X19" s="7">
        <f t="shared" si="2"/>
        <v>0</v>
      </c>
      <c r="Y19" s="7">
        <f t="shared" si="2"/>
        <v>0</v>
      </c>
      <c r="Z19" s="7">
        <f t="shared" si="2"/>
        <v>0</v>
      </c>
      <c r="AA19" s="7">
        <f t="shared" si="2"/>
        <v>0</v>
      </c>
      <c r="AB19" s="7">
        <f t="shared" si="2"/>
        <v>0</v>
      </c>
      <c r="AC19" s="7">
        <f t="shared" si="2"/>
        <v>0</v>
      </c>
      <c r="AD19" s="7">
        <f t="shared" si="2"/>
        <v>0</v>
      </c>
      <c r="AE19" s="7">
        <f t="shared" si="2"/>
        <v>0</v>
      </c>
      <c r="AF19" s="7">
        <f t="shared" si="2"/>
        <v>0</v>
      </c>
      <c r="AG19" s="7">
        <f t="shared" si="2"/>
        <v>0</v>
      </c>
      <c r="AH19" s="7">
        <f t="shared" si="2"/>
        <v>0</v>
      </c>
      <c r="AI19" s="24"/>
    </row>
    <row r="20" spans="1:35" s="22" customFormat="1" ht="15" customHeight="1" x14ac:dyDescent="0.2">
      <c r="A20" s="26"/>
      <c r="B20" s="105"/>
      <c r="C20" s="104" t="s">
        <v>447</v>
      </c>
      <c r="D20" s="8"/>
      <c r="E20" s="7">
        <f>E7-E19</f>
        <v>0</v>
      </c>
      <c r="F20" s="7">
        <f>F7-F19</f>
        <v>0</v>
      </c>
      <c r="G20" s="7">
        <f t="shared" ref="G20:AH20" si="3">G7-G19</f>
        <v>0</v>
      </c>
      <c r="H20" s="7">
        <f t="shared" si="3"/>
        <v>0</v>
      </c>
      <c r="I20" s="7">
        <f t="shared" si="3"/>
        <v>0</v>
      </c>
      <c r="J20" s="7">
        <f t="shared" si="3"/>
        <v>0</v>
      </c>
      <c r="K20" s="7">
        <f t="shared" si="3"/>
        <v>0</v>
      </c>
      <c r="L20" s="7">
        <f t="shared" si="3"/>
        <v>0</v>
      </c>
      <c r="M20" s="7">
        <f t="shared" si="3"/>
        <v>0</v>
      </c>
      <c r="N20" s="7">
        <f t="shared" si="3"/>
        <v>0</v>
      </c>
      <c r="O20" s="7">
        <f t="shared" si="3"/>
        <v>0</v>
      </c>
      <c r="P20" s="7">
        <f t="shared" si="3"/>
        <v>0</v>
      </c>
      <c r="Q20" s="7">
        <f t="shared" si="3"/>
        <v>0</v>
      </c>
      <c r="R20" s="7">
        <f t="shared" si="3"/>
        <v>0</v>
      </c>
      <c r="S20" s="7">
        <f t="shared" si="3"/>
        <v>0</v>
      </c>
      <c r="T20" s="7">
        <f t="shared" si="3"/>
        <v>0</v>
      </c>
      <c r="U20" s="7">
        <f t="shared" si="3"/>
        <v>0</v>
      </c>
      <c r="V20" s="7">
        <f t="shared" si="3"/>
        <v>0</v>
      </c>
      <c r="W20" s="7">
        <f t="shared" si="3"/>
        <v>0</v>
      </c>
      <c r="X20" s="7">
        <f t="shared" si="3"/>
        <v>0</v>
      </c>
      <c r="Y20" s="7">
        <f t="shared" si="3"/>
        <v>0</v>
      </c>
      <c r="Z20" s="7">
        <f t="shared" si="3"/>
        <v>0</v>
      </c>
      <c r="AA20" s="7">
        <f t="shared" si="3"/>
        <v>0</v>
      </c>
      <c r="AB20" s="7">
        <f t="shared" si="3"/>
        <v>0</v>
      </c>
      <c r="AC20" s="7">
        <f t="shared" si="3"/>
        <v>0</v>
      </c>
      <c r="AD20" s="7">
        <f t="shared" si="3"/>
        <v>0</v>
      </c>
      <c r="AE20" s="7">
        <f t="shared" si="3"/>
        <v>0</v>
      </c>
      <c r="AF20" s="7">
        <f t="shared" si="3"/>
        <v>0</v>
      </c>
      <c r="AG20" s="7">
        <f t="shared" si="3"/>
        <v>0</v>
      </c>
      <c r="AH20" s="7">
        <f t="shared" si="3"/>
        <v>0</v>
      </c>
      <c r="AI20" s="24"/>
    </row>
    <row r="21" spans="1:35" s="22" customFormat="1" ht="15" customHeight="1" x14ac:dyDescent="0.2">
      <c r="A21" s="26"/>
      <c r="B21" s="105"/>
      <c r="C21" s="112" t="s">
        <v>448</v>
      </c>
      <c r="D21" s="529"/>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1"/>
      <c r="AI21" s="24"/>
    </row>
    <row r="22" spans="1:35" s="22" customFormat="1" ht="15" customHeight="1" x14ac:dyDescent="0.2">
      <c r="A22" s="26"/>
      <c r="B22" s="105"/>
      <c r="C22" s="117" t="s">
        <v>449</v>
      </c>
      <c r="D22" s="8"/>
      <c r="E22" s="7">
        <f>MAX(0,E8-0.085*E16)</f>
        <v>0</v>
      </c>
      <c r="F22" s="7">
        <f>MAX(0,F8-0.085*F16)</f>
        <v>0</v>
      </c>
      <c r="G22" s="7">
        <f t="shared" ref="G22:AF22" si="4">MAX(0,G8-0.085*G16)</f>
        <v>0</v>
      </c>
      <c r="H22" s="7">
        <f t="shared" si="4"/>
        <v>0</v>
      </c>
      <c r="I22" s="7">
        <f t="shared" si="4"/>
        <v>0</v>
      </c>
      <c r="J22" s="7">
        <f t="shared" si="4"/>
        <v>0</v>
      </c>
      <c r="K22" s="7">
        <f t="shared" si="4"/>
        <v>0</v>
      </c>
      <c r="L22" s="7">
        <f t="shared" si="4"/>
        <v>0</v>
      </c>
      <c r="M22" s="7">
        <f t="shared" si="4"/>
        <v>0</v>
      </c>
      <c r="N22" s="7">
        <f t="shared" si="4"/>
        <v>0</v>
      </c>
      <c r="O22" s="7">
        <f t="shared" si="4"/>
        <v>0</v>
      </c>
      <c r="P22" s="7">
        <f t="shared" si="4"/>
        <v>0</v>
      </c>
      <c r="Q22" s="7">
        <f t="shared" si="4"/>
        <v>0</v>
      </c>
      <c r="R22" s="7">
        <f t="shared" si="4"/>
        <v>0</v>
      </c>
      <c r="S22" s="7">
        <f t="shared" si="4"/>
        <v>0</v>
      </c>
      <c r="T22" s="7">
        <f t="shared" si="4"/>
        <v>0</v>
      </c>
      <c r="U22" s="7">
        <f t="shared" si="4"/>
        <v>0</v>
      </c>
      <c r="V22" s="7">
        <f t="shared" si="4"/>
        <v>0</v>
      </c>
      <c r="W22" s="7">
        <f t="shared" si="4"/>
        <v>0</v>
      </c>
      <c r="X22" s="7">
        <f t="shared" si="4"/>
        <v>0</v>
      </c>
      <c r="Y22" s="7">
        <f t="shared" si="4"/>
        <v>0</v>
      </c>
      <c r="Z22" s="7">
        <f t="shared" si="4"/>
        <v>0</v>
      </c>
      <c r="AA22" s="7">
        <f t="shared" si="4"/>
        <v>0</v>
      </c>
      <c r="AB22" s="7">
        <f t="shared" si="4"/>
        <v>0</v>
      </c>
      <c r="AC22" s="7">
        <f t="shared" si="4"/>
        <v>0</v>
      </c>
      <c r="AD22" s="7">
        <f t="shared" si="4"/>
        <v>0</v>
      </c>
      <c r="AE22" s="7">
        <f t="shared" si="4"/>
        <v>0</v>
      </c>
      <c r="AF22" s="7">
        <f t="shared" si="4"/>
        <v>0</v>
      </c>
      <c r="AG22" s="7">
        <f>MAX(0,AG8-0.085*AG16)</f>
        <v>0</v>
      </c>
      <c r="AH22" s="7">
        <f>MAX(0,AH8-0.085*AH16)</f>
        <v>0</v>
      </c>
      <c r="AI22" s="24"/>
    </row>
    <row r="23" spans="1:35" s="22" customFormat="1" ht="15" customHeight="1" x14ac:dyDescent="0.2">
      <c r="A23" s="26"/>
      <c r="B23" s="105"/>
      <c r="C23" s="115" t="s">
        <v>365</v>
      </c>
      <c r="D23" s="8"/>
      <c r="E23" s="7">
        <f>IF(E9+E10&gt;0, E22*E10/(E9+E10), 0)</f>
        <v>0</v>
      </c>
      <c r="F23" s="7">
        <f t="shared" ref="F23:AH23" si="5">IF(F9+F10&gt;0, F22*F10/(F9+F10), 0)</f>
        <v>0</v>
      </c>
      <c r="G23" s="7">
        <f t="shared" si="5"/>
        <v>0</v>
      </c>
      <c r="H23" s="7">
        <f t="shared" si="5"/>
        <v>0</v>
      </c>
      <c r="I23" s="7">
        <f t="shared" si="5"/>
        <v>0</v>
      </c>
      <c r="J23" s="7">
        <f t="shared" si="5"/>
        <v>0</v>
      </c>
      <c r="K23" s="7">
        <f t="shared" si="5"/>
        <v>0</v>
      </c>
      <c r="L23" s="7">
        <f t="shared" si="5"/>
        <v>0</v>
      </c>
      <c r="M23" s="7">
        <f t="shared" si="5"/>
        <v>0</v>
      </c>
      <c r="N23" s="7">
        <f t="shared" si="5"/>
        <v>0</v>
      </c>
      <c r="O23" s="7">
        <f t="shared" si="5"/>
        <v>0</v>
      </c>
      <c r="P23" s="7">
        <f t="shared" si="5"/>
        <v>0</v>
      </c>
      <c r="Q23" s="7">
        <f t="shared" si="5"/>
        <v>0</v>
      </c>
      <c r="R23" s="7">
        <f t="shared" si="5"/>
        <v>0</v>
      </c>
      <c r="S23" s="7">
        <f t="shared" si="5"/>
        <v>0</v>
      </c>
      <c r="T23" s="7">
        <f t="shared" si="5"/>
        <v>0</v>
      </c>
      <c r="U23" s="7">
        <f t="shared" si="5"/>
        <v>0</v>
      </c>
      <c r="V23" s="7">
        <f t="shared" si="5"/>
        <v>0</v>
      </c>
      <c r="W23" s="7">
        <f t="shared" si="5"/>
        <v>0</v>
      </c>
      <c r="X23" s="7">
        <f t="shared" si="5"/>
        <v>0</v>
      </c>
      <c r="Y23" s="7">
        <f t="shared" si="5"/>
        <v>0</v>
      </c>
      <c r="Z23" s="7">
        <f t="shared" si="5"/>
        <v>0</v>
      </c>
      <c r="AA23" s="7">
        <f t="shared" si="5"/>
        <v>0</v>
      </c>
      <c r="AB23" s="7">
        <f t="shared" si="5"/>
        <v>0</v>
      </c>
      <c r="AC23" s="7">
        <f t="shared" si="5"/>
        <v>0</v>
      </c>
      <c r="AD23" s="7">
        <f t="shared" si="5"/>
        <v>0</v>
      </c>
      <c r="AE23" s="7">
        <f t="shared" si="5"/>
        <v>0</v>
      </c>
      <c r="AF23" s="7">
        <f t="shared" si="5"/>
        <v>0</v>
      </c>
      <c r="AG23" s="7">
        <f t="shared" si="5"/>
        <v>0</v>
      </c>
      <c r="AH23" s="7">
        <f t="shared" si="5"/>
        <v>0</v>
      </c>
      <c r="AI23" s="24"/>
    </row>
    <row r="24" spans="1:35" s="22" customFormat="1" ht="15" customHeight="1" x14ac:dyDescent="0.2">
      <c r="A24" s="26"/>
      <c r="B24" s="105"/>
      <c r="C24" s="104" t="s">
        <v>450</v>
      </c>
      <c r="D24" s="8"/>
      <c r="E24" s="7">
        <f>E10-E23</f>
        <v>0</v>
      </c>
      <c r="F24" s="7">
        <f>F10-F23</f>
        <v>0</v>
      </c>
      <c r="G24" s="7">
        <f t="shared" ref="G24:AH24" si="6">G10-G23</f>
        <v>0</v>
      </c>
      <c r="H24" s="7">
        <f t="shared" si="6"/>
        <v>0</v>
      </c>
      <c r="I24" s="7">
        <f t="shared" si="6"/>
        <v>0</v>
      </c>
      <c r="J24" s="7">
        <f t="shared" si="6"/>
        <v>0</v>
      </c>
      <c r="K24" s="7">
        <f t="shared" si="6"/>
        <v>0</v>
      </c>
      <c r="L24" s="7">
        <f t="shared" si="6"/>
        <v>0</v>
      </c>
      <c r="M24" s="7">
        <f t="shared" si="6"/>
        <v>0</v>
      </c>
      <c r="N24" s="7">
        <f t="shared" si="6"/>
        <v>0</v>
      </c>
      <c r="O24" s="7">
        <f t="shared" si="6"/>
        <v>0</v>
      </c>
      <c r="P24" s="7">
        <f t="shared" si="6"/>
        <v>0</v>
      </c>
      <c r="Q24" s="7">
        <f t="shared" si="6"/>
        <v>0</v>
      </c>
      <c r="R24" s="7">
        <f t="shared" si="6"/>
        <v>0</v>
      </c>
      <c r="S24" s="7">
        <f t="shared" si="6"/>
        <v>0</v>
      </c>
      <c r="T24" s="7">
        <f t="shared" si="6"/>
        <v>0</v>
      </c>
      <c r="U24" s="7">
        <f t="shared" si="6"/>
        <v>0</v>
      </c>
      <c r="V24" s="7">
        <f t="shared" si="6"/>
        <v>0</v>
      </c>
      <c r="W24" s="7">
        <f t="shared" si="6"/>
        <v>0</v>
      </c>
      <c r="X24" s="7">
        <f t="shared" si="6"/>
        <v>0</v>
      </c>
      <c r="Y24" s="7">
        <f t="shared" si="6"/>
        <v>0</v>
      </c>
      <c r="Z24" s="7">
        <f t="shared" si="6"/>
        <v>0</v>
      </c>
      <c r="AA24" s="7">
        <f t="shared" si="6"/>
        <v>0</v>
      </c>
      <c r="AB24" s="7">
        <f t="shared" si="6"/>
        <v>0</v>
      </c>
      <c r="AC24" s="7">
        <f t="shared" si="6"/>
        <v>0</v>
      </c>
      <c r="AD24" s="7">
        <f t="shared" si="6"/>
        <v>0</v>
      </c>
      <c r="AE24" s="7">
        <f t="shared" si="6"/>
        <v>0</v>
      </c>
      <c r="AF24" s="7">
        <f t="shared" si="6"/>
        <v>0</v>
      </c>
      <c r="AG24" s="7">
        <f t="shared" si="6"/>
        <v>0</v>
      </c>
      <c r="AH24" s="7">
        <f t="shared" si="6"/>
        <v>0</v>
      </c>
      <c r="AI24" s="24"/>
    </row>
    <row r="25" spans="1:35" s="22" customFormat="1" ht="15" customHeight="1" x14ac:dyDescent="0.2">
      <c r="A25" s="26"/>
      <c r="B25" s="105"/>
      <c r="C25" s="112" t="s">
        <v>451</v>
      </c>
      <c r="D25" s="529"/>
      <c r="E25" s="530"/>
      <c r="F25" s="530"/>
      <c r="G25" s="530"/>
      <c r="H25" s="530"/>
      <c r="I25" s="530"/>
      <c r="J25" s="530"/>
      <c r="K25" s="530"/>
      <c r="L25" s="530"/>
      <c r="M25" s="530"/>
      <c r="N25" s="530"/>
      <c r="O25" s="530"/>
      <c r="P25" s="530"/>
      <c r="Q25" s="530"/>
      <c r="R25" s="530"/>
      <c r="S25" s="530"/>
      <c r="T25" s="530"/>
      <c r="U25" s="530"/>
      <c r="V25" s="530"/>
      <c r="W25" s="530"/>
      <c r="X25" s="530"/>
      <c r="Y25" s="530"/>
      <c r="Z25" s="530"/>
      <c r="AA25" s="530"/>
      <c r="AB25" s="530"/>
      <c r="AC25" s="530"/>
      <c r="AD25" s="530"/>
      <c r="AE25" s="530"/>
      <c r="AF25" s="530"/>
      <c r="AG25" s="530"/>
      <c r="AH25" s="531"/>
      <c r="AI25" s="24"/>
    </row>
    <row r="26" spans="1:35" s="22" customFormat="1" ht="15" customHeight="1" x14ac:dyDescent="0.2">
      <c r="A26" s="26"/>
      <c r="B26" s="105"/>
      <c r="C26" s="117" t="s">
        <v>452</v>
      </c>
      <c r="D26" s="8"/>
      <c r="E26" s="7">
        <f>MAX(0,E11-0.105*E16)</f>
        <v>0</v>
      </c>
      <c r="F26" s="7">
        <f>MAX(0,F11-0.105*F16)</f>
        <v>0</v>
      </c>
      <c r="G26" s="7">
        <f t="shared" ref="G26:AF26" si="7">MAX(0,G11-0.105*G16)</f>
        <v>0</v>
      </c>
      <c r="H26" s="7">
        <f t="shared" si="7"/>
        <v>0</v>
      </c>
      <c r="I26" s="7">
        <f t="shared" si="7"/>
        <v>0</v>
      </c>
      <c r="J26" s="7">
        <f t="shared" si="7"/>
        <v>0</v>
      </c>
      <c r="K26" s="7">
        <f t="shared" si="7"/>
        <v>0</v>
      </c>
      <c r="L26" s="7">
        <f t="shared" si="7"/>
        <v>0</v>
      </c>
      <c r="M26" s="7">
        <f t="shared" si="7"/>
        <v>0</v>
      </c>
      <c r="N26" s="7">
        <f t="shared" si="7"/>
        <v>0</v>
      </c>
      <c r="O26" s="7">
        <f t="shared" si="7"/>
        <v>0</v>
      </c>
      <c r="P26" s="7">
        <f t="shared" si="7"/>
        <v>0</v>
      </c>
      <c r="Q26" s="7">
        <f t="shared" si="7"/>
        <v>0</v>
      </c>
      <c r="R26" s="7">
        <f t="shared" si="7"/>
        <v>0</v>
      </c>
      <c r="S26" s="7">
        <f t="shared" si="7"/>
        <v>0</v>
      </c>
      <c r="T26" s="7">
        <f t="shared" si="7"/>
        <v>0</v>
      </c>
      <c r="U26" s="7">
        <f t="shared" si="7"/>
        <v>0</v>
      </c>
      <c r="V26" s="7">
        <f t="shared" si="7"/>
        <v>0</v>
      </c>
      <c r="W26" s="7">
        <f t="shared" si="7"/>
        <v>0</v>
      </c>
      <c r="X26" s="7">
        <f t="shared" si="7"/>
        <v>0</v>
      </c>
      <c r="Y26" s="7">
        <f t="shared" si="7"/>
        <v>0</v>
      </c>
      <c r="Z26" s="7">
        <f t="shared" si="7"/>
        <v>0</v>
      </c>
      <c r="AA26" s="7">
        <f t="shared" si="7"/>
        <v>0</v>
      </c>
      <c r="AB26" s="7">
        <f t="shared" si="7"/>
        <v>0</v>
      </c>
      <c r="AC26" s="7">
        <f t="shared" si="7"/>
        <v>0</v>
      </c>
      <c r="AD26" s="7">
        <f t="shared" si="7"/>
        <v>0</v>
      </c>
      <c r="AE26" s="7">
        <f t="shared" si="7"/>
        <v>0</v>
      </c>
      <c r="AF26" s="7">
        <f t="shared" si="7"/>
        <v>0</v>
      </c>
      <c r="AG26" s="7">
        <f>MAX(0,AG11-0.105*AG16)</f>
        <v>0</v>
      </c>
      <c r="AH26" s="7">
        <f>MAX(0,AH11-0.105*AH16)</f>
        <v>0</v>
      </c>
      <c r="AI26" s="24"/>
    </row>
    <row r="27" spans="1:35" s="22" customFormat="1" ht="15" customHeight="1" x14ac:dyDescent="0.2">
      <c r="A27" s="26"/>
      <c r="B27" s="105"/>
      <c r="C27" s="115" t="s">
        <v>365</v>
      </c>
      <c r="D27" s="8"/>
      <c r="E27" s="7">
        <f>IF(E12+E13&gt;0, E26*E13/(E12+E13), 0)</f>
        <v>0</v>
      </c>
      <c r="F27" s="7">
        <f t="shared" ref="F27:AH27" si="8">IF(F12+F13&gt;0, F26*F13/(F12+F13), 0)</f>
        <v>0</v>
      </c>
      <c r="G27" s="7">
        <f t="shared" si="8"/>
        <v>0</v>
      </c>
      <c r="H27" s="7">
        <f t="shared" si="8"/>
        <v>0</v>
      </c>
      <c r="I27" s="7">
        <f t="shared" si="8"/>
        <v>0</v>
      </c>
      <c r="J27" s="7">
        <f t="shared" si="8"/>
        <v>0</v>
      </c>
      <c r="K27" s="7">
        <f t="shared" si="8"/>
        <v>0</v>
      </c>
      <c r="L27" s="7">
        <f t="shared" si="8"/>
        <v>0</v>
      </c>
      <c r="M27" s="7">
        <f t="shared" si="8"/>
        <v>0</v>
      </c>
      <c r="N27" s="7">
        <f t="shared" si="8"/>
        <v>0</v>
      </c>
      <c r="O27" s="7">
        <f t="shared" si="8"/>
        <v>0</v>
      </c>
      <c r="P27" s="7">
        <f t="shared" si="8"/>
        <v>0</v>
      </c>
      <c r="Q27" s="7">
        <f t="shared" si="8"/>
        <v>0</v>
      </c>
      <c r="R27" s="7">
        <f t="shared" si="8"/>
        <v>0</v>
      </c>
      <c r="S27" s="7">
        <f t="shared" si="8"/>
        <v>0</v>
      </c>
      <c r="T27" s="7">
        <f t="shared" si="8"/>
        <v>0</v>
      </c>
      <c r="U27" s="7">
        <f t="shared" si="8"/>
        <v>0</v>
      </c>
      <c r="V27" s="7">
        <f t="shared" si="8"/>
        <v>0</v>
      </c>
      <c r="W27" s="7">
        <f t="shared" si="8"/>
        <v>0</v>
      </c>
      <c r="X27" s="7">
        <f t="shared" si="8"/>
        <v>0</v>
      </c>
      <c r="Y27" s="7">
        <f t="shared" si="8"/>
        <v>0</v>
      </c>
      <c r="Z27" s="7">
        <f t="shared" si="8"/>
        <v>0</v>
      </c>
      <c r="AA27" s="7">
        <f t="shared" si="8"/>
        <v>0</v>
      </c>
      <c r="AB27" s="7">
        <f t="shared" si="8"/>
        <v>0</v>
      </c>
      <c r="AC27" s="7">
        <f t="shared" si="8"/>
        <v>0</v>
      </c>
      <c r="AD27" s="7">
        <f t="shared" si="8"/>
        <v>0</v>
      </c>
      <c r="AE27" s="7">
        <f t="shared" si="8"/>
        <v>0</v>
      </c>
      <c r="AF27" s="7">
        <f t="shared" si="8"/>
        <v>0</v>
      </c>
      <c r="AG27" s="7">
        <f t="shared" si="8"/>
        <v>0</v>
      </c>
      <c r="AH27" s="7">
        <f t="shared" si="8"/>
        <v>0</v>
      </c>
      <c r="AI27" s="24"/>
    </row>
    <row r="28" spans="1:35" s="22" customFormat="1" ht="15" customHeight="1" x14ac:dyDescent="0.2">
      <c r="A28" s="26"/>
      <c r="B28" s="105"/>
      <c r="C28" s="104" t="s">
        <v>385</v>
      </c>
      <c r="D28" s="89"/>
      <c r="E28" s="7">
        <f>E13-E27</f>
        <v>0</v>
      </c>
      <c r="F28" s="7">
        <f>F13-F27</f>
        <v>0</v>
      </c>
      <c r="G28" s="7">
        <f t="shared" ref="G28:AH28" si="9">G13-G27</f>
        <v>0</v>
      </c>
      <c r="H28" s="7">
        <f t="shared" si="9"/>
        <v>0</v>
      </c>
      <c r="I28" s="7">
        <f t="shared" si="9"/>
        <v>0</v>
      </c>
      <c r="J28" s="7">
        <f t="shared" si="9"/>
        <v>0</v>
      </c>
      <c r="K28" s="7">
        <f t="shared" si="9"/>
        <v>0</v>
      </c>
      <c r="L28" s="7">
        <f t="shared" si="9"/>
        <v>0</v>
      </c>
      <c r="M28" s="7">
        <f t="shared" si="9"/>
        <v>0</v>
      </c>
      <c r="N28" s="7">
        <f t="shared" si="9"/>
        <v>0</v>
      </c>
      <c r="O28" s="7">
        <f t="shared" si="9"/>
        <v>0</v>
      </c>
      <c r="P28" s="7">
        <f t="shared" si="9"/>
        <v>0</v>
      </c>
      <c r="Q28" s="7">
        <f t="shared" si="9"/>
        <v>0</v>
      </c>
      <c r="R28" s="7">
        <f t="shared" si="9"/>
        <v>0</v>
      </c>
      <c r="S28" s="7">
        <f t="shared" si="9"/>
        <v>0</v>
      </c>
      <c r="T28" s="7">
        <f t="shared" si="9"/>
        <v>0</v>
      </c>
      <c r="U28" s="7">
        <f t="shared" si="9"/>
        <v>0</v>
      </c>
      <c r="V28" s="7">
        <f t="shared" si="9"/>
        <v>0</v>
      </c>
      <c r="W28" s="7">
        <f t="shared" si="9"/>
        <v>0</v>
      </c>
      <c r="X28" s="7">
        <f t="shared" si="9"/>
        <v>0</v>
      </c>
      <c r="Y28" s="7">
        <f t="shared" si="9"/>
        <v>0</v>
      </c>
      <c r="Z28" s="7">
        <f t="shared" si="9"/>
        <v>0</v>
      </c>
      <c r="AA28" s="7">
        <f t="shared" si="9"/>
        <v>0</v>
      </c>
      <c r="AB28" s="7">
        <f t="shared" si="9"/>
        <v>0</v>
      </c>
      <c r="AC28" s="7">
        <f t="shared" si="9"/>
        <v>0</v>
      </c>
      <c r="AD28" s="7">
        <f t="shared" si="9"/>
        <v>0</v>
      </c>
      <c r="AE28" s="7">
        <f t="shared" si="9"/>
        <v>0</v>
      </c>
      <c r="AF28" s="7">
        <f t="shared" si="9"/>
        <v>0</v>
      </c>
      <c r="AG28" s="7">
        <f t="shared" si="9"/>
        <v>0</v>
      </c>
      <c r="AH28" s="7">
        <f t="shared" si="9"/>
        <v>0</v>
      </c>
      <c r="AI28" s="24"/>
    </row>
    <row r="29" spans="1:35" s="22" customFormat="1" ht="15" customHeight="1" x14ac:dyDescent="0.2">
      <c r="A29" s="26"/>
      <c r="B29" s="105"/>
      <c r="C29" s="112" t="s">
        <v>454</v>
      </c>
      <c r="D29" s="378">
        <f>SUM(E29:AH29)</f>
        <v>0</v>
      </c>
      <c r="E29" s="7">
        <f>MAX(0,E20)</f>
        <v>0</v>
      </c>
      <c r="F29" s="7">
        <f t="shared" ref="F29:AH29" si="10">MAX(0,F20)</f>
        <v>0</v>
      </c>
      <c r="G29" s="7">
        <f t="shared" si="10"/>
        <v>0</v>
      </c>
      <c r="H29" s="7">
        <f t="shared" si="10"/>
        <v>0</v>
      </c>
      <c r="I29" s="7">
        <f t="shared" si="10"/>
        <v>0</v>
      </c>
      <c r="J29" s="7">
        <f t="shared" si="10"/>
        <v>0</v>
      </c>
      <c r="K29" s="7">
        <f t="shared" si="10"/>
        <v>0</v>
      </c>
      <c r="L29" s="7">
        <f t="shared" si="10"/>
        <v>0</v>
      </c>
      <c r="M29" s="7">
        <f t="shared" si="10"/>
        <v>0</v>
      </c>
      <c r="N29" s="7">
        <f t="shared" si="10"/>
        <v>0</v>
      </c>
      <c r="O29" s="7">
        <f t="shared" si="10"/>
        <v>0</v>
      </c>
      <c r="P29" s="7">
        <f t="shared" si="10"/>
        <v>0</v>
      </c>
      <c r="Q29" s="7">
        <f t="shared" si="10"/>
        <v>0</v>
      </c>
      <c r="R29" s="7">
        <f t="shared" si="10"/>
        <v>0</v>
      </c>
      <c r="S29" s="7">
        <f t="shared" si="10"/>
        <v>0</v>
      </c>
      <c r="T29" s="7">
        <f t="shared" si="10"/>
        <v>0</v>
      </c>
      <c r="U29" s="7">
        <f t="shared" si="10"/>
        <v>0</v>
      </c>
      <c r="V29" s="7">
        <f t="shared" si="10"/>
        <v>0</v>
      </c>
      <c r="W29" s="7">
        <f t="shared" si="10"/>
        <v>0</v>
      </c>
      <c r="X29" s="7">
        <f t="shared" si="10"/>
        <v>0</v>
      </c>
      <c r="Y29" s="7">
        <f t="shared" si="10"/>
        <v>0</v>
      </c>
      <c r="Z29" s="7">
        <f t="shared" si="10"/>
        <v>0</v>
      </c>
      <c r="AA29" s="7">
        <f t="shared" si="10"/>
        <v>0</v>
      </c>
      <c r="AB29" s="7">
        <f t="shared" si="10"/>
        <v>0</v>
      </c>
      <c r="AC29" s="7">
        <f t="shared" si="10"/>
        <v>0</v>
      </c>
      <c r="AD29" s="7">
        <f t="shared" si="10"/>
        <v>0</v>
      </c>
      <c r="AE29" s="7">
        <f t="shared" si="10"/>
        <v>0</v>
      </c>
      <c r="AF29" s="7">
        <f t="shared" si="10"/>
        <v>0</v>
      </c>
      <c r="AG29" s="7">
        <f t="shared" si="10"/>
        <v>0</v>
      </c>
      <c r="AH29" s="7">
        <f t="shared" si="10"/>
        <v>0</v>
      </c>
      <c r="AI29" s="24"/>
    </row>
    <row r="30" spans="1:35" s="22" customFormat="1" ht="15" customHeight="1" x14ac:dyDescent="0.2">
      <c r="A30" s="26"/>
      <c r="B30" s="105"/>
      <c r="C30" s="112" t="s">
        <v>455</v>
      </c>
      <c r="D30" s="378">
        <f>SUM(E30:AH30)</f>
        <v>0</v>
      </c>
      <c r="E30" s="7">
        <f>MAX(0,E24-E29)</f>
        <v>0</v>
      </c>
      <c r="F30" s="7">
        <f t="shared" ref="F30:AH30" si="11">MAX(0,F24-F29)</f>
        <v>0</v>
      </c>
      <c r="G30" s="7">
        <f t="shared" si="11"/>
        <v>0</v>
      </c>
      <c r="H30" s="7">
        <f t="shared" si="11"/>
        <v>0</v>
      </c>
      <c r="I30" s="7">
        <f t="shared" si="11"/>
        <v>0</v>
      </c>
      <c r="J30" s="7">
        <f t="shared" si="11"/>
        <v>0</v>
      </c>
      <c r="K30" s="7">
        <f t="shared" si="11"/>
        <v>0</v>
      </c>
      <c r="L30" s="7">
        <f t="shared" si="11"/>
        <v>0</v>
      </c>
      <c r="M30" s="7">
        <f t="shared" si="11"/>
        <v>0</v>
      </c>
      <c r="N30" s="7">
        <f t="shared" si="11"/>
        <v>0</v>
      </c>
      <c r="O30" s="7">
        <f t="shared" si="11"/>
        <v>0</v>
      </c>
      <c r="P30" s="7">
        <f t="shared" si="11"/>
        <v>0</v>
      </c>
      <c r="Q30" s="7">
        <f t="shared" si="11"/>
        <v>0</v>
      </c>
      <c r="R30" s="7">
        <f t="shared" si="11"/>
        <v>0</v>
      </c>
      <c r="S30" s="7">
        <f t="shared" si="11"/>
        <v>0</v>
      </c>
      <c r="T30" s="7">
        <f t="shared" si="11"/>
        <v>0</v>
      </c>
      <c r="U30" s="7">
        <f t="shared" si="11"/>
        <v>0</v>
      </c>
      <c r="V30" s="7">
        <f t="shared" si="11"/>
        <v>0</v>
      </c>
      <c r="W30" s="7">
        <f t="shared" si="11"/>
        <v>0</v>
      </c>
      <c r="X30" s="7">
        <f t="shared" si="11"/>
        <v>0</v>
      </c>
      <c r="Y30" s="7">
        <f t="shared" si="11"/>
        <v>0</v>
      </c>
      <c r="Z30" s="7">
        <f t="shared" si="11"/>
        <v>0</v>
      </c>
      <c r="AA30" s="7">
        <f t="shared" si="11"/>
        <v>0</v>
      </c>
      <c r="AB30" s="7">
        <f t="shared" si="11"/>
        <v>0</v>
      </c>
      <c r="AC30" s="7">
        <f t="shared" si="11"/>
        <v>0</v>
      </c>
      <c r="AD30" s="7">
        <f t="shared" si="11"/>
        <v>0</v>
      </c>
      <c r="AE30" s="7">
        <f t="shared" si="11"/>
        <v>0</v>
      </c>
      <c r="AF30" s="7">
        <f t="shared" si="11"/>
        <v>0</v>
      </c>
      <c r="AG30" s="7">
        <f t="shared" si="11"/>
        <v>0</v>
      </c>
      <c r="AH30" s="7">
        <f t="shared" si="11"/>
        <v>0</v>
      </c>
      <c r="AI30" s="24"/>
    </row>
    <row r="31" spans="1:35" s="22" customFormat="1" ht="15" customHeight="1" x14ac:dyDescent="0.2">
      <c r="A31" s="26"/>
      <c r="B31" s="103"/>
      <c r="C31" s="112" t="s">
        <v>456</v>
      </c>
      <c r="D31" s="378">
        <f>SUM(E31:AH31)</f>
        <v>0</v>
      </c>
      <c r="E31" s="7">
        <f>MAX(0,E28-E29-E30)</f>
        <v>0</v>
      </c>
      <c r="F31" s="7">
        <f t="shared" ref="F31:AH31" si="12">MAX(0,F28-F29-F30)</f>
        <v>0</v>
      </c>
      <c r="G31" s="7">
        <f t="shared" si="12"/>
        <v>0</v>
      </c>
      <c r="H31" s="7">
        <f t="shared" si="12"/>
        <v>0</v>
      </c>
      <c r="I31" s="7">
        <f t="shared" si="12"/>
        <v>0</v>
      </c>
      <c r="J31" s="7">
        <f t="shared" si="12"/>
        <v>0</v>
      </c>
      <c r="K31" s="7">
        <f t="shared" si="12"/>
        <v>0</v>
      </c>
      <c r="L31" s="7">
        <f t="shared" si="12"/>
        <v>0</v>
      </c>
      <c r="M31" s="7">
        <f t="shared" si="12"/>
        <v>0</v>
      </c>
      <c r="N31" s="7">
        <f t="shared" si="12"/>
        <v>0</v>
      </c>
      <c r="O31" s="7">
        <f t="shared" si="12"/>
        <v>0</v>
      </c>
      <c r="P31" s="7">
        <f t="shared" si="12"/>
        <v>0</v>
      </c>
      <c r="Q31" s="7">
        <f t="shared" si="12"/>
        <v>0</v>
      </c>
      <c r="R31" s="7">
        <f t="shared" si="12"/>
        <v>0</v>
      </c>
      <c r="S31" s="7">
        <f t="shared" si="12"/>
        <v>0</v>
      </c>
      <c r="T31" s="7">
        <f t="shared" si="12"/>
        <v>0</v>
      </c>
      <c r="U31" s="7">
        <f t="shared" si="12"/>
        <v>0</v>
      </c>
      <c r="V31" s="7">
        <f t="shared" si="12"/>
        <v>0</v>
      </c>
      <c r="W31" s="7">
        <f t="shared" si="12"/>
        <v>0</v>
      </c>
      <c r="X31" s="7">
        <f t="shared" si="12"/>
        <v>0</v>
      </c>
      <c r="Y31" s="7">
        <f t="shared" si="12"/>
        <v>0</v>
      </c>
      <c r="Z31" s="7">
        <f t="shared" si="12"/>
        <v>0</v>
      </c>
      <c r="AA31" s="7">
        <f t="shared" si="12"/>
        <v>0</v>
      </c>
      <c r="AB31" s="7">
        <f t="shared" si="12"/>
        <v>0</v>
      </c>
      <c r="AC31" s="7">
        <f t="shared" si="12"/>
        <v>0</v>
      </c>
      <c r="AD31" s="7">
        <f t="shared" si="12"/>
        <v>0</v>
      </c>
      <c r="AE31" s="7">
        <f t="shared" si="12"/>
        <v>0</v>
      </c>
      <c r="AF31" s="7">
        <f t="shared" si="12"/>
        <v>0</v>
      </c>
      <c r="AG31" s="7">
        <f t="shared" si="12"/>
        <v>0</v>
      </c>
      <c r="AH31" s="7">
        <f t="shared" si="12"/>
        <v>0</v>
      </c>
      <c r="AI31" s="24"/>
    </row>
    <row r="32" spans="1:35" ht="15" customHeight="1" x14ac:dyDescent="0.2">
      <c r="A32" s="86"/>
      <c r="B32" s="55"/>
      <c r="C32" s="55"/>
      <c r="D32" s="55"/>
      <c r="E32" s="71"/>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6"/>
    </row>
  </sheetData>
  <dataConsolidate/>
  <phoneticPr fontId="8" type="noConversion"/>
  <conditionalFormatting sqref="E5:AH15">
    <cfRule type="cellIs" dxfId="217" priority="1"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P168"/>
  <sheetViews>
    <sheetView zoomScale="75" zoomScaleNormal="75" zoomScaleSheetLayoutView="75" workbookViewId="0"/>
  </sheetViews>
  <sheetFormatPr defaultColWidth="8.85546875" defaultRowHeight="15" customHeight="1" x14ac:dyDescent="0.2"/>
  <cols>
    <col min="1" max="1" width="1.7109375" customWidth="1"/>
    <col min="2" max="2" width="10.7109375" customWidth="1"/>
    <col min="3" max="3" width="75.7109375" customWidth="1"/>
    <col min="4" max="8" width="16.7109375" customWidth="1"/>
    <col min="9" max="9" width="1.7109375" customWidth="1"/>
    <col min="10" max="14" width="16.7109375" customWidth="1"/>
    <col min="15" max="15" width="1.7109375" customWidth="1"/>
  </cols>
  <sheetData>
    <row r="1" spans="1:15" ht="30" customHeight="1" x14ac:dyDescent="0.4">
      <c r="A1" s="66" t="s">
        <v>642</v>
      </c>
      <c r="B1" s="63"/>
      <c r="C1" s="67"/>
      <c r="D1" s="67"/>
      <c r="E1" s="67"/>
      <c r="F1" s="67"/>
      <c r="G1" s="67"/>
      <c r="H1" s="67"/>
      <c r="I1" s="67"/>
      <c r="J1" s="67"/>
      <c r="K1" s="67"/>
      <c r="L1" s="67"/>
      <c r="M1" s="67"/>
      <c r="N1" s="67"/>
      <c r="O1" s="69"/>
    </row>
    <row r="2" spans="1:15" s="122" customFormat="1" ht="30" customHeight="1" x14ac:dyDescent="0.25">
      <c r="A2" s="52" t="s">
        <v>458</v>
      </c>
      <c r="B2" s="85"/>
      <c r="C2" s="196"/>
      <c r="D2" s="196"/>
      <c r="E2" s="196"/>
      <c r="F2" s="196"/>
      <c r="G2" s="196"/>
      <c r="H2" s="196"/>
      <c r="I2" s="196"/>
      <c r="J2" s="196"/>
      <c r="K2" s="196"/>
      <c r="L2" s="196"/>
      <c r="M2" s="196"/>
      <c r="N2" s="196"/>
      <c r="O2" s="121"/>
    </row>
    <row r="3" spans="1:15" s="122" customFormat="1" ht="15" customHeight="1" x14ac:dyDescent="0.2">
      <c r="A3" s="398"/>
      <c r="B3" s="23"/>
      <c r="C3" s="23"/>
      <c r="D3" s="23"/>
      <c r="E3" s="23"/>
      <c r="F3" s="23"/>
      <c r="G3" s="23"/>
      <c r="H3" s="23"/>
      <c r="I3" s="23"/>
      <c r="J3" s="23"/>
      <c r="K3" s="23"/>
      <c r="L3" s="23"/>
      <c r="M3" s="23"/>
      <c r="N3" s="23"/>
      <c r="O3" s="192"/>
    </row>
    <row r="4" spans="1:15" s="122" customFormat="1" ht="15" customHeight="1" x14ac:dyDescent="0.2">
      <c r="A4" s="398"/>
      <c r="B4" s="23"/>
      <c r="C4" s="23" t="s">
        <v>459</v>
      </c>
      <c r="D4" s="23"/>
      <c r="E4" s="23"/>
      <c r="F4" s="23"/>
      <c r="G4" s="23"/>
      <c r="H4" s="23"/>
      <c r="I4" s="23"/>
      <c r="J4" s="23"/>
      <c r="K4" s="23"/>
      <c r="L4" s="23"/>
      <c r="M4" s="23"/>
      <c r="N4" s="23"/>
      <c r="O4" s="192"/>
    </row>
    <row r="5" spans="1:15" s="22" customFormat="1" ht="15" customHeight="1" x14ac:dyDescent="0.2">
      <c r="A5" s="26"/>
      <c r="B5" s="23"/>
      <c r="C5" s="23"/>
      <c r="D5" s="23"/>
      <c r="E5" s="23"/>
      <c r="F5" s="23"/>
      <c r="G5" s="23"/>
      <c r="H5" s="23"/>
      <c r="I5" s="23"/>
      <c r="J5" s="23"/>
      <c r="K5" s="23"/>
      <c r="L5" s="23"/>
      <c r="M5" s="23"/>
      <c r="N5" s="23"/>
      <c r="O5" s="24"/>
    </row>
    <row r="6" spans="1:15" s="22" customFormat="1" ht="15" customHeight="1" x14ac:dyDescent="0.2">
      <c r="A6" s="26"/>
      <c r="B6" s="138"/>
      <c r="C6" s="23"/>
      <c r="D6" s="831" t="s">
        <v>564</v>
      </c>
      <c r="E6" s="835"/>
      <c r="F6" s="835"/>
      <c r="G6" s="835"/>
      <c r="H6" s="832"/>
      <c r="I6" s="201"/>
      <c r="J6" s="831" t="s">
        <v>93</v>
      </c>
      <c r="K6" s="835"/>
      <c r="L6" s="835"/>
      <c r="M6" s="835"/>
      <c r="N6" s="832"/>
      <c r="O6" s="24"/>
    </row>
    <row r="7" spans="1:15" s="22" customFormat="1" ht="24.95" customHeight="1" x14ac:dyDescent="0.2">
      <c r="A7" s="26"/>
      <c r="B7" s="836" t="s">
        <v>230</v>
      </c>
      <c r="C7" s="838"/>
      <c r="D7" s="833" t="s">
        <v>460</v>
      </c>
      <c r="E7" s="833" t="s">
        <v>461</v>
      </c>
      <c r="F7" s="831" t="s">
        <v>810</v>
      </c>
      <c r="G7" s="832"/>
      <c r="H7" s="829" t="s">
        <v>266</v>
      </c>
      <c r="I7" s="201"/>
      <c r="J7" s="833" t="s">
        <v>460</v>
      </c>
      <c r="K7" s="833" t="s">
        <v>461</v>
      </c>
      <c r="L7" s="831" t="s">
        <v>810</v>
      </c>
      <c r="M7" s="832"/>
      <c r="N7" s="829" t="s">
        <v>266</v>
      </c>
      <c r="O7" s="24"/>
    </row>
    <row r="8" spans="1:15" s="22" customFormat="1" ht="24.95" customHeight="1" x14ac:dyDescent="0.2">
      <c r="A8" s="26"/>
      <c r="B8" s="837"/>
      <c r="C8" s="839"/>
      <c r="D8" s="834"/>
      <c r="E8" s="834"/>
      <c r="F8" s="470" t="s">
        <v>437</v>
      </c>
      <c r="G8" s="470" t="s">
        <v>438</v>
      </c>
      <c r="H8" s="830"/>
      <c r="I8" s="201"/>
      <c r="J8" s="834"/>
      <c r="K8" s="834"/>
      <c r="L8" s="470" t="s">
        <v>437</v>
      </c>
      <c r="M8" s="470" t="s">
        <v>438</v>
      </c>
      <c r="N8" s="830"/>
      <c r="O8" s="24"/>
    </row>
    <row r="9" spans="1:15" s="22" customFormat="1" ht="15" customHeight="1" x14ac:dyDescent="0.2">
      <c r="A9" s="26"/>
      <c r="B9" s="20" t="s">
        <v>310</v>
      </c>
      <c r="C9" s="206" t="s">
        <v>462</v>
      </c>
      <c r="D9" s="399" t="str">
        <f>IF(AND(ISNUMBER(D10),ISNUMBER(D11),ISNUMBER(D12)),SUM(D10:D12),"")</f>
        <v/>
      </c>
      <c r="E9" s="399" t="str">
        <f>IF(AND(ISNUMBER(E10),ISNUMBER(E11),ISNUMBER(E12)),SUM(E10:E12),"")</f>
        <v/>
      </c>
      <c r="F9" s="377"/>
      <c r="G9" s="377"/>
      <c r="H9" s="6"/>
      <c r="I9" s="201"/>
      <c r="J9" s="399" t="str">
        <f>IF(AND(ISNUMBER(J10),ISNUMBER(J11),ISNUMBER(J12)),SUM(J10:J12),"")</f>
        <v/>
      </c>
      <c r="K9" s="399" t="str">
        <f>IF(AND(ISNUMBER(K10),ISNUMBER(K11),ISNUMBER(K12)),SUM(K10:K12),"")</f>
        <v/>
      </c>
      <c r="L9" s="377"/>
      <c r="M9" s="377"/>
      <c r="N9" s="6"/>
      <c r="O9" s="24"/>
    </row>
    <row r="10" spans="1:15" s="22" customFormat="1" ht="15" customHeight="1" x14ac:dyDescent="0.2">
      <c r="A10" s="26"/>
      <c r="B10" s="8"/>
      <c r="C10" s="392" t="s">
        <v>463</v>
      </c>
      <c r="D10" s="415"/>
      <c r="E10" s="377"/>
      <c r="F10" s="532"/>
      <c r="G10" s="533"/>
      <c r="H10" s="78" t="str">
        <f>IF(D10&lt;=E10,"Yes","No")</f>
        <v>Yes</v>
      </c>
      <c r="I10" s="201"/>
      <c r="J10" s="415"/>
      <c r="K10" s="377"/>
      <c r="L10" s="532"/>
      <c r="M10" s="533"/>
      <c r="N10" s="78" t="str">
        <f>IF(J10&lt;=K10,"Yes","No")</f>
        <v>Yes</v>
      </c>
      <c r="O10" s="24"/>
    </row>
    <row r="11" spans="1:15" s="22" customFormat="1" ht="15" customHeight="1" x14ac:dyDescent="0.2">
      <c r="A11" s="26"/>
      <c r="B11" s="8"/>
      <c r="C11" s="392" t="s">
        <v>464</v>
      </c>
      <c r="D11" s="415"/>
      <c r="E11" s="415"/>
      <c r="F11" s="534"/>
      <c r="G11" s="535"/>
      <c r="H11" s="78" t="str">
        <f>IF(D11&lt;=E11,"Yes","No")</f>
        <v>Yes</v>
      </c>
      <c r="I11" s="201"/>
      <c r="J11" s="415"/>
      <c r="K11" s="415"/>
      <c r="L11" s="534"/>
      <c r="M11" s="535"/>
      <c r="N11" s="78" t="str">
        <f>IF(J11&lt;=K11,"Yes","No")</f>
        <v>Yes</v>
      </c>
      <c r="O11" s="24"/>
    </row>
    <row r="12" spans="1:15" s="22" customFormat="1" ht="15" customHeight="1" x14ac:dyDescent="0.2">
      <c r="A12" s="26"/>
      <c r="B12" s="8"/>
      <c r="C12" s="392" t="s">
        <v>465</v>
      </c>
      <c r="D12" s="415"/>
      <c r="E12" s="415"/>
      <c r="F12" s="536"/>
      <c r="G12" s="535"/>
      <c r="H12" s="78" t="str">
        <f>IF(D12&lt;=E12,"Yes","No")</f>
        <v>Yes</v>
      </c>
      <c r="I12" s="201"/>
      <c r="J12" s="415"/>
      <c r="K12" s="415"/>
      <c r="L12" s="536"/>
      <c r="M12" s="535"/>
      <c r="N12" s="78" t="str">
        <f>IF(J12&lt;=K12,"Yes","No")</f>
        <v>Yes</v>
      </c>
      <c r="O12" s="24"/>
    </row>
    <row r="13" spans="1:15" s="22" customFormat="1" ht="15" customHeight="1" x14ac:dyDescent="0.2">
      <c r="A13" s="26"/>
      <c r="B13" s="20">
        <v>159</v>
      </c>
      <c r="C13" s="393" t="s">
        <v>538</v>
      </c>
      <c r="D13" s="399" t="str">
        <f>IF(AND(ISNUMBER(D14),ISNUMBER(D15)),SUM(D14:D15),"")</f>
        <v/>
      </c>
      <c r="E13" s="399" t="str">
        <f>IF(AND(ISNUMBER(E14),ISNUMBER(E15)),SUM(E14:E15),"")</f>
        <v/>
      </c>
      <c r="F13" s="399" t="str">
        <f>IF(AND(ISNUMBER(F14),ISNUMBER(F15)),SUM(F14:F15),"")</f>
        <v/>
      </c>
      <c r="G13" s="534"/>
      <c r="H13" s="541"/>
      <c r="I13" s="201"/>
      <c r="J13" s="399" t="str">
        <f>IF(AND(ISNUMBER(J14),ISNUMBER(J15)),SUM(J14:J15),"")</f>
        <v/>
      </c>
      <c r="K13" s="399" t="str">
        <f>IF(AND(ISNUMBER(K14),ISNUMBER(K15)),SUM(K14:K15),"")</f>
        <v/>
      </c>
      <c r="L13" s="399" t="str">
        <f>IF(AND(ISNUMBER(L14),ISNUMBER(L15)),SUM(L14:L15),"")</f>
        <v/>
      </c>
      <c r="M13" s="534"/>
      <c r="N13" s="541"/>
      <c r="O13" s="24"/>
    </row>
    <row r="14" spans="1:15" s="22" customFormat="1" ht="15" customHeight="1" x14ac:dyDescent="0.2">
      <c r="A14" s="26"/>
      <c r="B14" s="8"/>
      <c r="C14" s="392" t="s">
        <v>439</v>
      </c>
      <c r="D14" s="415"/>
      <c r="E14" s="377"/>
      <c r="F14" s="377"/>
      <c r="G14" s="538"/>
      <c r="H14" s="78" t="str">
        <f>IF(D14&lt;=E14,"Yes","No")</f>
        <v>Yes</v>
      </c>
      <c r="I14" s="201"/>
      <c r="J14" s="415"/>
      <c r="K14" s="377"/>
      <c r="L14" s="377"/>
      <c r="M14" s="538"/>
      <c r="N14" s="78" t="str">
        <f>IF(J14&lt;=K14,"Yes","No")</f>
        <v>Yes</v>
      </c>
      <c r="O14" s="24"/>
    </row>
    <row r="15" spans="1:15" s="22" customFormat="1" ht="15" customHeight="1" x14ac:dyDescent="0.2">
      <c r="A15" s="26"/>
      <c r="B15" s="8"/>
      <c r="C15" s="392" t="s">
        <v>440</v>
      </c>
      <c r="D15" s="415"/>
      <c r="E15" s="377"/>
      <c r="F15" s="377"/>
      <c r="G15" s="538"/>
      <c r="H15" s="78" t="str">
        <f>IF(D15&lt;=E15,"Yes","No")</f>
        <v>Yes</v>
      </c>
      <c r="I15" s="201"/>
      <c r="J15" s="415"/>
      <c r="K15" s="377"/>
      <c r="L15" s="377"/>
      <c r="M15" s="538"/>
      <c r="N15" s="78" t="str">
        <f>IF(J15&lt;=K15,"Yes","No")</f>
        <v>Yes</v>
      </c>
      <c r="O15" s="24"/>
    </row>
    <row r="16" spans="1:15" s="22" customFormat="1" ht="15" customHeight="1" x14ac:dyDescent="0.2">
      <c r="A16" s="26"/>
      <c r="B16" s="20" t="s">
        <v>309</v>
      </c>
      <c r="C16" s="206" t="s">
        <v>185</v>
      </c>
      <c r="D16" s="415"/>
      <c r="E16" s="377"/>
      <c r="F16" s="540"/>
      <c r="G16" s="537"/>
      <c r="H16" s="78" t="str">
        <f>IF(D16&lt;=E16,"Yes","No")</f>
        <v>Yes</v>
      </c>
      <c r="I16" s="201"/>
      <c r="J16" s="415"/>
      <c r="K16" s="377"/>
      <c r="L16" s="540"/>
      <c r="M16" s="537"/>
      <c r="N16" s="78" t="str">
        <f>IF(J16&lt;=K16,"Yes","No")</f>
        <v>Yes</v>
      </c>
      <c r="O16" s="24"/>
    </row>
    <row r="17" spans="1:15" s="22" customFormat="1" ht="15" customHeight="1" x14ac:dyDescent="0.2">
      <c r="A17" s="26"/>
      <c r="B17" s="14"/>
      <c r="C17" s="394" t="s">
        <v>466</v>
      </c>
      <c r="D17" s="396" t="str">
        <f>IF(AND(ISNUMBER(D9),ISNUMBER(D13),ISNUMBER(D16)),SUM(D9,D13,D16),"")</f>
        <v/>
      </c>
      <c r="E17" s="396" t="str">
        <f>IF(AND(ISNUMBER(E9),ISNUMBER(E13),ISNUMBER(E16)),SUM(E9,E13,E16),"")</f>
        <v/>
      </c>
      <c r="F17" s="396" t="str">
        <f>IF(AND(ISNUMBER(F9),ISNUMBER(F13)),SUM(F9,F13),"")</f>
        <v/>
      </c>
      <c r="G17" s="396" t="str">
        <f>IF(ISNUMBER(G9),G9,"")</f>
        <v/>
      </c>
      <c r="H17" s="6"/>
      <c r="I17" s="201"/>
      <c r="J17" s="396" t="str">
        <f>IF(AND(ISNUMBER(J9),ISNUMBER(J13),ISNUMBER(J16)),SUM(J9,J13,J16),"")</f>
        <v/>
      </c>
      <c r="K17" s="396" t="str">
        <f>IF(AND(ISNUMBER(K9),ISNUMBER(K13),ISNUMBER(K16)),SUM(K9,K13,K16),"")</f>
        <v/>
      </c>
      <c r="L17" s="396" t="str">
        <f>IF(AND(ISNUMBER(L9),ISNUMBER(L13)),SUM(L9,L13),"")</f>
        <v/>
      </c>
      <c r="M17" s="396" t="str">
        <f>IF(ISNUMBER(M9),M9,"")</f>
        <v/>
      </c>
      <c r="N17" s="6"/>
      <c r="O17" s="24"/>
    </row>
    <row r="18" spans="1:15" s="22" customFormat="1" ht="15" customHeight="1" x14ac:dyDescent="0.2">
      <c r="A18" s="26"/>
      <c r="O18" s="24"/>
    </row>
    <row r="19" spans="1:15" s="22" customFormat="1" ht="15" customHeight="1" x14ac:dyDescent="0.2">
      <c r="A19" s="26"/>
      <c r="C19" s="827" t="s">
        <v>791</v>
      </c>
      <c r="D19" s="828"/>
      <c r="E19" s="377"/>
      <c r="F19" s="532"/>
      <c r="G19" s="533"/>
      <c r="H19" s="201"/>
      <c r="J19" s="201"/>
      <c r="K19" s="377"/>
      <c r="L19" s="532"/>
      <c r="M19" s="533"/>
      <c r="N19" s="201"/>
      <c r="O19" s="24"/>
    </row>
    <row r="20" spans="1:15" s="22" customFormat="1" ht="15" customHeight="1" x14ac:dyDescent="0.2">
      <c r="A20" s="26"/>
      <c r="C20" s="827" t="s">
        <v>792</v>
      </c>
      <c r="D20" s="828"/>
      <c r="E20" s="377"/>
      <c r="F20" s="534"/>
      <c r="G20" s="535"/>
      <c r="H20" s="201"/>
      <c r="J20" s="201"/>
      <c r="K20" s="377"/>
      <c r="L20" s="534"/>
      <c r="M20" s="535"/>
      <c r="N20" s="201"/>
      <c r="O20" s="24"/>
    </row>
    <row r="21" spans="1:15" s="22" customFormat="1" ht="15" customHeight="1" x14ac:dyDescent="0.2">
      <c r="A21" s="26"/>
      <c r="C21" s="827" t="s">
        <v>793</v>
      </c>
      <c r="D21" s="828"/>
      <c r="E21" s="377"/>
      <c r="F21" s="534"/>
      <c r="G21" s="535"/>
      <c r="H21" s="201"/>
      <c r="J21" s="201"/>
      <c r="K21" s="377"/>
      <c r="L21" s="534"/>
      <c r="M21" s="535"/>
      <c r="N21" s="201"/>
      <c r="O21" s="24"/>
    </row>
    <row r="22" spans="1:15" s="22" customFormat="1" ht="15" customHeight="1" x14ac:dyDescent="0.2">
      <c r="A22" s="26"/>
      <c r="C22" s="827" t="s">
        <v>794</v>
      </c>
      <c r="D22" s="828"/>
      <c r="E22" s="377"/>
      <c r="F22" s="536"/>
      <c r="G22" s="537"/>
      <c r="H22" s="201"/>
      <c r="J22" s="201"/>
      <c r="K22" s="377"/>
      <c r="L22" s="536"/>
      <c r="M22" s="537"/>
      <c r="N22" s="201"/>
      <c r="O22" s="24"/>
    </row>
    <row r="23" spans="1:15" s="22" customFormat="1" ht="15" customHeight="1" x14ac:dyDescent="0.2">
      <c r="A23" s="26"/>
      <c r="O23" s="24"/>
    </row>
    <row r="24" spans="1:15" s="22" customFormat="1" ht="15" customHeight="1" x14ac:dyDescent="0.2">
      <c r="A24" s="26"/>
      <c r="B24" s="24"/>
      <c r="C24" s="825" t="s">
        <v>267</v>
      </c>
      <c r="D24" s="826"/>
      <c r="E24" s="542"/>
      <c r="F24" s="78" t="str">
        <f>IF(E9&gt;=F9,"Yes","No")</f>
        <v>Yes</v>
      </c>
      <c r="G24" s="78" t="str">
        <f>IF(E9&gt;=G9,"Yes","No")</f>
        <v>Yes</v>
      </c>
      <c r="H24" s="201"/>
      <c r="I24" s="201"/>
      <c r="J24" s="201"/>
      <c r="K24" s="542"/>
      <c r="L24" s="78" t="str">
        <f>IF(K9&gt;=L9,"Yes","No")</f>
        <v>Yes</v>
      </c>
      <c r="M24" s="78" t="str">
        <f>IF(K9&gt;=M9,"Yes","No")</f>
        <v>Yes</v>
      </c>
      <c r="N24" s="201"/>
      <c r="O24" s="24"/>
    </row>
    <row r="25" spans="1:15" s="22" customFormat="1" ht="15" customHeight="1" x14ac:dyDescent="0.2">
      <c r="A25" s="26"/>
      <c r="B25" s="25"/>
      <c r="C25" s="825" t="s">
        <v>787</v>
      </c>
      <c r="D25" s="826"/>
      <c r="E25" s="78" t="str">
        <f>IF(E19&lt;=E16,"Yes","No")</f>
        <v>Yes</v>
      </c>
      <c r="F25" s="532"/>
      <c r="G25" s="535"/>
      <c r="H25" s="201"/>
      <c r="I25" s="201"/>
      <c r="J25" s="201"/>
      <c r="K25" s="78" t="str">
        <f>IF(K19&lt;=K16,"Yes","No")</f>
        <v>Yes</v>
      </c>
      <c r="L25" s="532"/>
      <c r="M25" s="535"/>
      <c r="N25" s="201"/>
      <c r="O25" s="24"/>
    </row>
    <row r="26" spans="1:15" s="22" customFormat="1" ht="15" customHeight="1" x14ac:dyDescent="0.2">
      <c r="A26" s="26"/>
      <c r="B26" s="25"/>
      <c r="C26" s="825" t="s">
        <v>788</v>
      </c>
      <c r="D26" s="826"/>
      <c r="E26" s="78" t="str">
        <f>IF(E20&lt;=E16,"Yes","No")</f>
        <v>Yes</v>
      </c>
      <c r="F26" s="534"/>
      <c r="G26" s="535"/>
      <c r="H26" s="201"/>
      <c r="I26" s="201"/>
      <c r="J26" s="201"/>
      <c r="K26" s="78" t="str">
        <f>IF(K20&lt;=K16,"Yes","No")</f>
        <v>Yes</v>
      </c>
      <c r="L26" s="534"/>
      <c r="M26" s="535"/>
      <c r="N26" s="201"/>
      <c r="O26" s="24"/>
    </row>
    <row r="27" spans="1:15" s="22" customFormat="1" ht="15" customHeight="1" x14ac:dyDescent="0.2">
      <c r="A27" s="26"/>
      <c r="B27" s="25"/>
      <c r="C27" s="825" t="s">
        <v>789</v>
      </c>
      <c r="D27" s="826"/>
      <c r="E27" s="78" t="str">
        <f>IF(E21&lt;=E16,"Yes","No")</f>
        <v>Yes</v>
      </c>
      <c r="F27" s="534"/>
      <c r="G27" s="535"/>
      <c r="H27" s="201"/>
      <c r="I27" s="201"/>
      <c r="J27" s="201"/>
      <c r="K27" s="78" t="str">
        <f>IF(K21&lt;=K16,"Yes","No")</f>
        <v>Yes</v>
      </c>
      <c r="L27" s="534"/>
      <c r="M27" s="535"/>
      <c r="N27" s="201"/>
      <c r="O27" s="24"/>
    </row>
    <row r="28" spans="1:15" s="22" customFormat="1" ht="15" customHeight="1" x14ac:dyDescent="0.2">
      <c r="A28" s="26"/>
      <c r="B28" s="25"/>
      <c r="C28" s="825" t="s">
        <v>790</v>
      </c>
      <c r="D28" s="826"/>
      <c r="E28" s="78" t="str">
        <f>IF(E22&lt;=E13,"Yes","No")</f>
        <v>Yes</v>
      </c>
      <c r="F28" s="536"/>
      <c r="G28" s="537"/>
      <c r="H28" s="201"/>
      <c r="I28" s="201"/>
      <c r="J28" s="201"/>
      <c r="K28" s="78" t="str">
        <f>IF(K22&lt;=K13,"Yes","No")</f>
        <v>Yes</v>
      </c>
      <c r="L28" s="536"/>
      <c r="M28" s="537"/>
      <c r="N28" s="201"/>
      <c r="O28" s="24"/>
    </row>
    <row r="29" spans="1:15" s="22" customFormat="1" ht="15" customHeight="1" x14ac:dyDescent="0.2">
      <c r="A29" s="26"/>
      <c r="B29" s="203"/>
      <c r="C29" s="201"/>
      <c r="D29" s="201"/>
      <c r="E29" s="201"/>
      <c r="F29" s="201"/>
      <c r="G29" s="201"/>
      <c r="H29" s="23"/>
      <c r="I29" s="201"/>
      <c r="J29" s="201"/>
      <c r="K29" s="201"/>
      <c r="L29" s="201"/>
      <c r="M29" s="201"/>
      <c r="N29" s="201"/>
      <c r="O29" s="24"/>
    </row>
    <row r="30" spans="1:15" s="122" customFormat="1" ht="30" customHeight="1" x14ac:dyDescent="0.25">
      <c r="A30" s="52" t="s">
        <v>539</v>
      </c>
      <c r="B30" s="85"/>
      <c r="C30" s="196"/>
      <c r="D30" s="196"/>
      <c r="E30" s="196"/>
      <c r="F30" s="196"/>
      <c r="G30" s="196"/>
      <c r="H30" s="196"/>
      <c r="I30" s="196"/>
      <c r="J30" s="196"/>
      <c r="K30" s="196"/>
      <c r="L30" s="196"/>
      <c r="M30" s="196"/>
      <c r="N30" s="196"/>
      <c r="O30" s="121"/>
    </row>
    <row r="31" spans="1:15" s="22" customFormat="1" ht="15" customHeight="1" x14ac:dyDescent="0.2">
      <c r="A31" s="26"/>
      <c r="B31" s="403"/>
      <c r="C31" s="201"/>
      <c r="D31" s="477"/>
      <c r="E31" s="477"/>
      <c r="F31" s="477"/>
      <c r="G31" s="96"/>
      <c r="H31" s="96"/>
      <c r="I31" s="201"/>
      <c r="J31" s="477"/>
      <c r="K31" s="477"/>
      <c r="L31" s="477"/>
      <c r="M31" s="96"/>
      <c r="N31" s="201"/>
      <c r="O31" s="24"/>
    </row>
    <row r="32" spans="1:15" s="22" customFormat="1" ht="15" customHeight="1" x14ac:dyDescent="0.2">
      <c r="A32" s="26"/>
      <c r="B32" s="404"/>
      <c r="C32" s="201"/>
      <c r="D32" s="831" t="s">
        <v>564</v>
      </c>
      <c r="E32" s="835"/>
      <c r="F32" s="835"/>
      <c r="G32" s="835"/>
      <c r="H32" s="832"/>
      <c r="I32" s="201"/>
      <c r="J32" s="831" t="s">
        <v>93</v>
      </c>
      <c r="K32" s="835"/>
      <c r="L32" s="835"/>
      <c r="M32" s="835"/>
      <c r="N32" s="832"/>
      <c r="O32" s="24"/>
    </row>
    <row r="33" spans="1:15" s="22" customFormat="1" ht="60" customHeight="1" x14ac:dyDescent="0.2">
      <c r="A33" s="26"/>
      <c r="B33" s="836" t="s">
        <v>230</v>
      </c>
      <c r="C33" s="838"/>
      <c r="D33" s="833" t="s">
        <v>338</v>
      </c>
      <c r="E33" s="831" t="s">
        <v>337</v>
      </c>
      <c r="F33" s="832"/>
      <c r="G33" s="833" t="s">
        <v>467</v>
      </c>
      <c r="H33" s="829" t="s">
        <v>272</v>
      </c>
      <c r="I33" s="201"/>
      <c r="J33" s="833" t="s">
        <v>338</v>
      </c>
      <c r="K33" s="831" t="s">
        <v>337</v>
      </c>
      <c r="L33" s="832"/>
      <c r="M33" s="833" t="s">
        <v>467</v>
      </c>
      <c r="N33" s="829" t="s">
        <v>272</v>
      </c>
      <c r="O33" s="24"/>
    </row>
    <row r="34" spans="1:15" s="22" customFormat="1" ht="60" customHeight="1" x14ac:dyDescent="0.2">
      <c r="A34" s="26"/>
      <c r="B34" s="837"/>
      <c r="C34" s="839"/>
      <c r="D34" s="834"/>
      <c r="E34" s="470" t="s">
        <v>437</v>
      </c>
      <c r="F34" s="470" t="s">
        <v>438</v>
      </c>
      <c r="G34" s="834"/>
      <c r="H34" s="830"/>
      <c r="I34" s="201"/>
      <c r="J34" s="834"/>
      <c r="K34" s="470" t="s">
        <v>437</v>
      </c>
      <c r="L34" s="470" t="s">
        <v>438</v>
      </c>
      <c r="M34" s="834"/>
      <c r="N34" s="830"/>
      <c r="O34" s="24"/>
    </row>
    <row r="35" spans="1:15" s="22" customFormat="1" ht="15" customHeight="1" x14ac:dyDescent="0.2">
      <c r="A35" s="26"/>
      <c r="B35" s="20">
        <v>161</v>
      </c>
      <c r="C35" s="147" t="s">
        <v>468</v>
      </c>
      <c r="D35" s="540"/>
      <c r="E35" s="567"/>
      <c r="F35" s="567"/>
      <c r="G35" s="567"/>
      <c r="H35" s="533"/>
      <c r="I35" s="201"/>
      <c r="J35" s="540"/>
      <c r="K35" s="567"/>
      <c r="L35" s="567"/>
      <c r="M35" s="567"/>
      <c r="N35" s="533"/>
      <c r="O35" s="24"/>
    </row>
    <row r="36" spans="1:15" s="22" customFormat="1" ht="15" customHeight="1" x14ac:dyDescent="0.2">
      <c r="A36" s="26"/>
      <c r="B36" s="11"/>
      <c r="C36" s="206" t="s">
        <v>462</v>
      </c>
      <c r="D36" s="194" t="str">
        <f>IF(AND(ISNUMBER(D37),ISNUMBER(D40),ISNUMBER(D41)),SUM(D37,D40,D41),"")</f>
        <v/>
      </c>
      <c r="E36" s="377"/>
      <c r="F36" s="377"/>
      <c r="G36" s="194" t="str">
        <f>IF(AND(ISNUMBER(G37),ISNUMBER(G40),ISNUMBER(G41)),SUM(G37,G40,G41),"")</f>
        <v/>
      </c>
      <c r="H36" s="539"/>
      <c r="I36" s="201"/>
      <c r="J36" s="194" t="str">
        <f>IF(AND(ISNUMBER(J37),ISNUMBER(J40),ISNUMBER(J41)),SUM(J37,J40,J41),"")</f>
        <v/>
      </c>
      <c r="K36" s="377"/>
      <c r="L36" s="377"/>
      <c r="M36" s="194" t="str">
        <f>IF(AND(ISNUMBER(M37),ISNUMBER(M40),ISNUMBER(M41)),SUM(M37,M40,M41),"")</f>
        <v/>
      </c>
      <c r="N36" s="539"/>
      <c r="O36" s="24"/>
    </row>
    <row r="37" spans="1:15" s="22" customFormat="1" ht="15" customHeight="1" x14ac:dyDescent="0.2">
      <c r="A37" s="26"/>
      <c r="B37" s="8"/>
      <c r="C37" s="209" t="s">
        <v>441</v>
      </c>
      <c r="D37" s="194" t="str">
        <f>IF(AND(ISNUMBER(D38),ISNUMBER(D39)),SUM(D38:D39),"")</f>
        <v/>
      </c>
      <c r="E37" s="532"/>
      <c r="F37" s="533"/>
      <c r="G37" s="194" t="str">
        <f>IF(AND(ISNUMBER(G38),ISNUMBER(G39)),SUM(G38:G39),"")</f>
        <v/>
      </c>
      <c r="H37" s="78" t="str">
        <f>IF(G37&gt;=D10,"Yes","No")</f>
        <v>Yes</v>
      </c>
      <c r="I37" s="201"/>
      <c r="J37" s="194" t="str">
        <f>IF(AND(ISNUMBER(J38),ISNUMBER(J39)),SUM(J38:J39),"")</f>
        <v/>
      </c>
      <c r="K37" s="532"/>
      <c r="L37" s="533"/>
      <c r="M37" s="194" t="str">
        <f>IF(AND(ISNUMBER(M38),ISNUMBER(M39)),SUM(M38:M39),"")</f>
        <v/>
      </c>
      <c r="N37" s="78" t="str">
        <f>IF(M37&gt;=J10,"Yes","No")</f>
        <v>Yes</v>
      </c>
      <c r="O37" s="24"/>
    </row>
    <row r="38" spans="1:15" s="22" customFormat="1" ht="15" customHeight="1" x14ac:dyDescent="0.2">
      <c r="A38" s="26"/>
      <c r="B38" s="8"/>
      <c r="C38" s="481" t="s">
        <v>442</v>
      </c>
      <c r="D38" s="377"/>
      <c r="E38" s="534"/>
      <c r="F38" s="535"/>
      <c r="G38" s="415"/>
      <c r="H38" s="542"/>
      <c r="I38" s="201"/>
      <c r="J38" s="377"/>
      <c r="K38" s="534"/>
      <c r="L38" s="535"/>
      <c r="M38" s="415"/>
      <c r="N38" s="542"/>
      <c r="O38" s="24"/>
    </row>
    <row r="39" spans="1:15" s="22" customFormat="1" ht="15" customHeight="1" x14ac:dyDescent="0.2">
      <c r="A39" s="26"/>
      <c r="B39" s="8"/>
      <c r="C39" s="481" t="s">
        <v>443</v>
      </c>
      <c r="D39" s="377"/>
      <c r="E39" s="534"/>
      <c r="F39" s="535"/>
      <c r="G39" s="415"/>
      <c r="H39" s="539"/>
      <c r="I39" s="201"/>
      <c r="J39" s="377"/>
      <c r="K39" s="534"/>
      <c r="L39" s="535"/>
      <c r="M39" s="415"/>
      <c r="N39" s="539"/>
      <c r="O39" s="24"/>
    </row>
    <row r="40" spans="1:15" s="22" customFormat="1" ht="15" customHeight="1" x14ac:dyDescent="0.2">
      <c r="A40" s="26"/>
      <c r="B40" s="8"/>
      <c r="C40" s="210" t="s">
        <v>464</v>
      </c>
      <c r="D40" s="415"/>
      <c r="E40" s="534"/>
      <c r="F40" s="535"/>
      <c r="G40" s="415"/>
      <c r="H40" s="78" t="str">
        <f>IF(G40&gt;=D11,"Yes","No")</f>
        <v>Yes</v>
      </c>
      <c r="I40" s="201"/>
      <c r="J40" s="415"/>
      <c r="K40" s="534"/>
      <c r="L40" s="535"/>
      <c r="M40" s="415"/>
      <c r="N40" s="78" t="str">
        <f>IF(M40&gt;=J11,"Yes","No")</f>
        <v>Yes</v>
      </c>
      <c r="O40" s="24"/>
    </row>
    <row r="41" spans="1:15" s="22" customFormat="1" ht="15" customHeight="1" x14ac:dyDescent="0.2">
      <c r="A41" s="26"/>
      <c r="B41" s="89"/>
      <c r="C41" s="210" t="s">
        <v>465</v>
      </c>
      <c r="D41" s="415"/>
      <c r="E41" s="534"/>
      <c r="F41" s="535"/>
      <c r="G41" s="415"/>
      <c r="H41" s="78" t="str">
        <f>IF(G41&gt;=D12,"Yes","No")</f>
        <v>Yes</v>
      </c>
      <c r="I41" s="201"/>
      <c r="J41" s="415"/>
      <c r="K41" s="534"/>
      <c r="L41" s="535"/>
      <c r="M41" s="415"/>
      <c r="N41" s="78" t="str">
        <f>IF(M41&gt;=J12,"Yes","No")</f>
        <v>Yes</v>
      </c>
      <c r="O41" s="24"/>
    </row>
    <row r="42" spans="1:15" s="22" customFormat="1" ht="15" customHeight="1" x14ac:dyDescent="0.2">
      <c r="A42" s="26"/>
      <c r="B42" s="405" t="s">
        <v>382</v>
      </c>
      <c r="C42" s="147" t="s">
        <v>469</v>
      </c>
      <c r="D42" s="532"/>
      <c r="E42" s="505"/>
      <c r="F42" s="505"/>
      <c r="G42" s="567"/>
      <c r="H42" s="533"/>
      <c r="I42" s="201"/>
      <c r="J42" s="532"/>
      <c r="K42" s="505"/>
      <c r="L42" s="505"/>
      <c r="M42" s="567"/>
      <c r="N42" s="533"/>
      <c r="O42" s="24"/>
    </row>
    <row r="43" spans="1:15" s="22" customFormat="1" ht="15" customHeight="1" x14ac:dyDescent="0.2">
      <c r="A43" s="26"/>
      <c r="B43" s="14"/>
      <c r="C43" s="129" t="s">
        <v>470</v>
      </c>
      <c r="D43" s="534"/>
      <c r="E43" s="505"/>
      <c r="F43" s="535"/>
      <c r="G43" s="568"/>
      <c r="H43" s="538"/>
      <c r="I43" s="201"/>
      <c r="J43" s="534"/>
      <c r="K43" s="505"/>
      <c r="L43" s="535"/>
      <c r="M43" s="568"/>
      <c r="N43" s="538"/>
      <c r="O43" s="24"/>
    </row>
    <row r="44" spans="1:15" s="22" customFormat="1" ht="15" customHeight="1" x14ac:dyDescent="0.2">
      <c r="A44" s="26"/>
      <c r="B44" s="20">
        <v>164</v>
      </c>
      <c r="C44" s="209" t="s">
        <v>471</v>
      </c>
      <c r="D44" s="534"/>
      <c r="E44" s="505"/>
      <c r="F44" s="535"/>
      <c r="G44" s="568"/>
      <c r="H44" s="538"/>
      <c r="I44" s="201"/>
      <c r="J44" s="534"/>
      <c r="K44" s="505"/>
      <c r="L44" s="535"/>
      <c r="M44" s="568"/>
      <c r="N44" s="538"/>
      <c r="O44" s="24"/>
    </row>
    <row r="45" spans="1:15" s="22" customFormat="1" ht="15" customHeight="1" x14ac:dyDescent="0.2">
      <c r="A45" s="26"/>
      <c r="B45" s="395">
        <v>164</v>
      </c>
      <c r="C45" s="209" t="s">
        <v>474</v>
      </c>
      <c r="D45" s="534"/>
      <c r="E45" s="505"/>
      <c r="F45" s="535"/>
      <c r="G45" s="568"/>
      <c r="H45" s="538"/>
      <c r="I45" s="201"/>
      <c r="J45" s="534"/>
      <c r="K45" s="505"/>
      <c r="L45" s="535"/>
      <c r="M45" s="568"/>
      <c r="N45" s="538"/>
      <c r="O45" s="24"/>
    </row>
    <row r="46" spans="1:15" s="22" customFormat="1" ht="15" customHeight="1" x14ac:dyDescent="0.2">
      <c r="A46" s="26"/>
      <c r="B46" s="11"/>
      <c r="C46" s="206" t="s">
        <v>475</v>
      </c>
      <c r="D46" s="534"/>
      <c r="E46" s="505"/>
      <c r="F46" s="535"/>
      <c r="G46" s="568"/>
      <c r="H46" s="538"/>
      <c r="I46" s="201"/>
      <c r="J46" s="534"/>
      <c r="K46" s="505"/>
      <c r="L46" s="535"/>
      <c r="M46" s="568"/>
      <c r="N46" s="538"/>
      <c r="O46" s="24"/>
    </row>
    <row r="47" spans="1:15" s="22" customFormat="1" ht="15" customHeight="1" x14ac:dyDescent="0.2">
      <c r="A47" s="26"/>
      <c r="B47" s="8"/>
      <c r="C47" s="206" t="s">
        <v>540</v>
      </c>
      <c r="D47" s="534"/>
      <c r="E47" s="505"/>
      <c r="F47" s="535"/>
      <c r="G47" s="568"/>
      <c r="H47" s="538"/>
      <c r="I47" s="201"/>
      <c r="J47" s="534"/>
      <c r="K47" s="505"/>
      <c r="L47" s="535"/>
      <c r="M47" s="568"/>
      <c r="N47" s="538"/>
      <c r="O47" s="24"/>
    </row>
    <row r="48" spans="1:15" s="22" customFormat="1" ht="15" customHeight="1" x14ac:dyDescent="0.2">
      <c r="A48" s="26"/>
      <c r="B48" s="8"/>
      <c r="C48" s="206" t="s">
        <v>541</v>
      </c>
      <c r="D48" s="534"/>
      <c r="E48" s="505"/>
      <c r="F48" s="535"/>
      <c r="G48" s="568"/>
      <c r="H48" s="538"/>
      <c r="I48" s="201"/>
      <c r="J48" s="534"/>
      <c r="K48" s="505"/>
      <c r="L48" s="535"/>
      <c r="M48" s="568"/>
      <c r="N48" s="538"/>
      <c r="O48" s="24"/>
    </row>
    <row r="49" spans="1:15" s="22" customFormat="1" ht="15" customHeight="1" x14ac:dyDescent="0.2">
      <c r="A49" s="26"/>
      <c r="B49" s="89"/>
      <c r="C49" s="394" t="s">
        <v>476</v>
      </c>
      <c r="D49" s="536"/>
      <c r="E49" s="543"/>
      <c r="F49" s="537"/>
      <c r="G49" s="569" t="str">
        <f>IF(AND(ISNUMBER(G43),ISNUMBER(G46),ISNUMBER(G47),ISNUMBER(G48)),SUM(G43,G46:G48),"")</f>
        <v/>
      </c>
      <c r="H49" s="539"/>
      <c r="I49" s="201"/>
      <c r="J49" s="536"/>
      <c r="K49" s="543"/>
      <c r="L49" s="537"/>
      <c r="M49" s="569" t="str">
        <f>IF(AND(ISNUMBER(M43),ISNUMBER(M46),ISNUMBER(M47),ISNUMBER(M48)),SUM(M43,M46:M48),"")</f>
        <v/>
      </c>
      <c r="N49" s="539"/>
      <c r="O49" s="24"/>
    </row>
    <row r="50" spans="1:15" s="22" customFormat="1" ht="15" customHeight="1" x14ac:dyDescent="0.2">
      <c r="A50" s="26"/>
      <c r="B50" s="200"/>
      <c r="C50" s="201"/>
      <c r="D50" s="201"/>
      <c r="E50" s="201"/>
      <c r="F50" s="201"/>
      <c r="G50" s="201"/>
      <c r="H50" s="201"/>
      <c r="I50" s="201"/>
      <c r="J50" s="201"/>
      <c r="K50" s="201"/>
      <c r="L50" s="201"/>
      <c r="M50" s="201"/>
      <c r="N50" s="201"/>
      <c r="O50" s="24"/>
    </row>
    <row r="51" spans="1:15" s="22" customFormat="1" ht="15" customHeight="1" x14ac:dyDescent="0.2">
      <c r="A51" s="26"/>
      <c r="B51" s="23"/>
      <c r="C51" s="825" t="s">
        <v>542</v>
      </c>
      <c r="D51" s="826"/>
      <c r="E51" s="826"/>
      <c r="F51" s="480"/>
      <c r="G51" s="78" t="str">
        <f>IF(G43&gt;=(G44+G45),"Yes","No")</f>
        <v>Yes</v>
      </c>
      <c r="H51" s="201"/>
      <c r="I51" s="201"/>
      <c r="K51" s="201"/>
      <c r="L51" s="201"/>
      <c r="M51" s="78" t="str">
        <f>IF(M43&gt;=(M44+M45),"Yes","No")</f>
        <v>Yes</v>
      </c>
      <c r="N51" s="201"/>
      <c r="O51" s="24"/>
    </row>
    <row r="52" spans="1:15" s="22" customFormat="1" ht="15" customHeight="1" x14ac:dyDescent="0.2">
      <c r="A52" s="26"/>
      <c r="B52" s="138"/>
      <c r="C52" s="23"/>
      <c r="D52" s="23"/>
      <c r="E52" s="23"/>
      <c r="F52" s="23"/>
      <c r="G52" s="23"/>
      <c r="H52" s="23"/>
      <c r="I52" s="23"/>
      <c r="J52" s="23"/>
      <c r="K52" s="23"/>
      <c r="L52" s="23"/>
      <c r="M52" s="23"/>
      <c r="N52" s="23"/>
      <c r="O52" s="24"/>
    </row>
    <row r="53" spans="1:15" s="122" customFormat="1" ht="30" customHeight="1" x14ac:dyDescent="0.25">
      <c r="A53" s="52" t="s">
        <v>543</v>
      </c>
      <c r="B53" s="85"/>
      <c r="C53" s="196"/>
      <c r="D53" s="196"/>
      <c r="E53" s="196"/>
      <c r="F53" s="196"/>
      <c r="G53" s="196"/>
      <c r="H53" s="196"/>
      <c r="I53" s="196"/>
      <c r="J53" s="196"/>
      <c r="K53" s="196"/>
      <c r="L53" s="196"/>
      <c r="M53" s="196"/>
      <c r="N53" s="196"/>
      <c r="O53" s="121"/>
    </row>
    <row r="54" spans="1:15" s="22" customFormat="1" ht="15" customHeight="1" x14ac:dyDescent="0.2">
      <c r="A54" s="26"/>
      <c r="B54" s="200"/>
      <c r="C54" s="201"/>
      <c r="D54" s="201"/>
      <c r="E54" s="201"/>
      <c r="F54" s="201"/>
      <c r="G54" s="201"/>
      <c r="H54" s="201"/>
      <c r="I54" s="23"/>
      <c r="J54" s="201"/>
      <c r="K54" s="201"/>
      <c r="L54" s="201"/>
      <c r="M54" s="201"/>
      <c r="N54" s="23"/>
      <c r="O54" s="24"/>
    </row>
    <row r="55" spans="1:15" s="22" customFormat="1" ht="15" customHeight="1" x14ac:dyDescent="0.2">
      <c r="A55" s="26"/>
      <c r="B55" s="203"/>
      <c r="C55" s="23"/>
      <c r="D55" s="831" t="s">
        <v>564</v>
      </c>
      <c r="E55" s="835"/>
      <c r="F55" s="835"/>
      <c r="G55" s="835"/>
      <c r="H55" s="832"/>
      <c r="I55" s="201"/>
      <c r="J55" s="831" t="s">
        <v>93</v>
      </c>
      <c r="K55" s="835"/>
      <c r="L55" s="835"/>
      <c r="M55" s="835"/>
      <c r="N55" s="832"/>
      <c r="O55" s="24"/>
    </row>
    <row r="56" spans="1:15" s="22" customFormat="1" ht="98.25" customHeight="1" x14ac:dyDescent="0.2">
      <c r="A56" s="26"/>
      <c r="B56" s="391" t="s">
        <v>230</v>
      </c>
      <c r="C56" s="147"/>
      <c r="D56" s="197" t="s">
        <v>544</v>
      </c>
      <c r="E56" s="197" t="s">
        <v>546</v>
      </c>
      <c r="F56" s="23"/>
      <c r="G56" s="23"/>
      <c r="H56" s="23"/>
      <c r="I56" s="23"/>
      <c r="J56" s="197" t="s">
        <v>544</v>
      </c>
      <c r="K56" s="197" t="s">
        <v>546</v>
      </c>
      <c r="L56" s="23"/>
      <c r="M56" s="23"/>
      <c r="N56" s="23"/>
      <c r="O56" s="24"/>
    </row>
    <row r="57" spans="1:15" s="22" customFormat="1" ht="30" customHeight="1" x14ac:dyDescent="0.2">
      <c r="A57" s="26"/>
      <c r="B57" s="395">
        <v>165</v>
      </c>
      <c r="C57" s="208" t="s">
        <v>547</v>
      </c>
      <c r="D57" s="194" t="str">
        <f>IF(AND(ISNUMBER(D58),ISNUMBER(D59),ISNUMBER(D60),ISNUMBER(D61),ISNUMBER(D62),ISNUMBER(D63),ISNUMBER(D64),ISNUMBER(D65),ISNUMBER(D66)),SUM(D58,D59,D60,D61,D62,D63,D64,D65,D66),"")</f>
        <v/>
      </c>
      <c r="E57" s="194" t="str">
        <f>IF(AND(ISNUMBER(E58),ISNUMBER(E59),ISNUMBER(E60),ISNUMBER(E61),ISNUMBER(E62),ISNUMBER(E63),ISNUMBER(E64),ISNUMBER(E65),ISNUMBER(E66)),SUM(E58,E59,E60,E61,E62,E63,E64,E65,E66),"")</f>
        <v/>
      </c>
      <c r="F57" s="23"/>
      <c r="G57" s="23"/>
      <c r="H57" s="23"/>
      <c r="I57" s="23"/>
      <c r="J57" s="194" t="str">
        <f>IF(AND(ISNUMBER(J58),ISNUMBER(J59),ISNUMBER(J60),ISNUMBER(J61),ISNUMBER(J62),ISNUMBER(J63),ISNUMBER(J64),ISNUMBER(J65),ISNUMBER(J66)),SUM(J58,J59,J60,J61,J62,J63,J64,J65,J66),"")</f>
        <v/>
      </c>
      <c r="K57" s="194" t="str">
        <f>IF(AND(ISNUMBER(K58),ISNUMBER(K59),ISNUMBER(K60),ISNUMBER(K61),ISNUMBER(K62),ISNUMBER(K63),ISNUMBER(K64),ISNUMBER(K65),ISNUMBER(K66)),SUM(K58,K59,K60,K61,K62,K63,K64,K65,K66),"")</f>
        <v/>
      </c>
      <c r="L57" s="23"/>
      <c r="M57" s="23"/>
      <c r="N57" s="23"/>
      <c r="O57" s="24"/>
    </row>
    <row r="58" spans="1:15" s="22" customFormat="1" ht="15" customHeight="1" x14ac:dyDescent="0.2">
      <c r="A58" s="26"/>
      <c r="B58" s="11"/>
      <c r="C58" s="397" t="s">
        <v>548</v>
      </c>
      <c r="D58" s="415"/>
      <c r="E58" s="415"/>
      <c r="F58" s="23"/>
      <c r="G58" s="23"/>
      <c r="H58" s="23"/>
      <c r="I58" s="23"/>
      <c r="J58" s="415"/>
      <c r="K58" s="415"/>
      <c r="L58" s="23"/>
      <c r="M58" s="23"/>
      <c r="N58" s="23"/>
      <c r="O58" s="24"/>
    </row>
    <row r="59" spans="1:15" s="22" customFormat="1" ht="15" customHeight="1" x14ac:dyDescent="0.2">
      <c r="A59" s="26"/>
      <c r="B59" s="8"/>
      <c r="C59" s="129" t="s">
        <v>549</v>
      </c>
      <c r="D59" s="415"/>
      <c r="E59" s="415"/>
      <c r="F59" s="23"/>
      <c r="G59" s="23"/>
      <c r="H59" s="23"/>
      <c r="I59" s="23"/>
      <c r="J59" s="415"/>
      <c r="K59" s="415"/>
      <c r="L59" s="23"/>
      <c r="M59" s="23"/>
      <c r="N59" s="23"/>
      <c r="O59" s="24"/>
    </row>
    <row r="60" spans="1:15" s="22" customFormat="1" ht="15" customHeight="1" x14ac:dyDescent="0.2">
      <c r="A60" s="26"/>
      <c r="B60" s="8"/>
      <c r="C60" s="129" t="s">
        <v>550</v>
      </c>
      <c r="D60" s="415"/>
      <c r="E60" s="415"/>
      <c r="F60" s="23"/>
      <c r="G60" s="23"/>
      <c r="H60" s="23"/>
      <c r="I60" s="23"/>
      <c r="J60" s="415"/>
      <c r="K60" s="415"/>
      <c r="L60" s="23"/>
      <c r="M60" s="23"/>
      <c r="N60" s="23"/>
      <c r="O60" s="24"/>
    </row>
    <row r="61" spans="1:15" s="22" customFormat="1" ht="15" customHeight="1" x14ac:dyDescent="0.2">
      <c r="A61" s="26"/>
      <c r="B61" s="8"/>
      <c r="C61" s="129" t="s">
        <v>551</v>
      </c>
      <c r="D61" s="415"/>
      <c r="E61" s="415"/>
      <c r="F61" s="23"/>
      <c r="G61" s="23"/>
      <c r="H61" s="23"/>
      <c r="I61" s="23"/>
      <c r="J61" s="415"/>
      <c r="K61" s="415"/>
      <c r="L61" s="23"/>
      <c r="M61" s="23"/>
      <c r="N61" s="23"/>
      <c r="O61" s="24"/>
    </row>
    <row r="62" spans="1:15" s="22" customFormat="1" ht="15" customHeight="1" x14ac:dyDescent="0.2">
      <c r="A62" s="26"/>
      <c r="B62" s="8"/>
      <c r="C62" s="129" t="s">
        <v>552</v>
      </c>
      <c r="D62" s="415"/>
      <c r="E62" s="415"/>
      <c r="F62" s="23"/>
      <c r="G62" s="23"/>
      <c r="H62" s="23"/>
      <c r="I62" s="23"/>
      <c r="J62" s="415"/>
      <c r="K62" s="415"/>
      <c r="L62" s="23"/>
      <c r="M62" s="23"/>
      <c r="N62" s="23"/>
      <c r="O62" s="24"/>
    </row>
    <row r="63" spans="1:15" s="22" customFormat="1" ht="15" customHeight="1" x14ac:dyDescent="0.2">
      <c r="A63" s="26"/>
      <c r="B63" s="8"/>
      <c r="C63" s="129" t="s">
        <v>553</v>
      </c>
      <c r="D63" s="415"/>
      <c r="E63" s="415"/>
      <c r="F63" s="23"/>
      <c r="G63" s="23"/>
      <c r="H63" s="23"/>
      <c r="I63" s="23"/>
      <c r="J63" s="415"/>
      <c r="K63" s="415"/>
      <c r="L63" s="23"/>
      <c r="M63" s="23"/>
      <c r="N63" s="23"/>
      <c r="O63" s="24"/>
    </row>
    <row r="64" spans="1:15" s="22" customFormat="1" ht="15" customHeight="1" x14ac:dyDescent="0.2">
      <c r="A64" s="26"/>
      <c r="B64" s="8"/>
      <c r="C64" s="129" t="s">
        <v>554</v>
      </c>
      <c r="D64" s="415"/>
      <c r="E64" s="415"/>
      <c r="F64" s="23"/>
      <c r="G64" s="23"/>
      <c r="H64" s="23"/>
      <c r="I64" s="23"/>
      <c r="J64" s="415"/>
      <c r="K64" s="415"/>
      <c r="L64" s="23"/>
      <c r="M64" s="23"/>
      <c r="N64" s="23"/>
      <c r="O64" s="24"/>
    </row>
    <row r="65" spans="1:15" s="22" customFormat="1" ht="15" customHeight="1" x14ac:dyDescent="0.2">
      <c r="A65" s="26"/>
      <c r="B65" s="8"/>
      <c r="C65" s="129" t="s">
        <v>555</v>
      </c>
      <c r="D65" s="415"/>
      <c r="E65" s="415"/>
      <c r="F65" s="23"/>
      <c r="G65" s="23"/>
      <c r="H65" s="23"/>
      <c r="I65" s="23"/>
      <c r="J65" s="415"/>
      <c r="K65" s="415"/>
      <c r="L65" s="23"/>
      <c r="M65" s="23"/>
      <c r="N65" s="23"/>
      <c r="O65" s="24"/>
    </row>
    <row r="66" spans="1:15" s="22" customFormat="1" ht="15" customHeight="1" x14ac:dyDescent="0.2">
      <c r="A66" s="26"/>
      <c r="B66" s="89"/>
      <c r="C66" s="129" t="s">
        <v>274</v>
      </c>
      <c r="D66" s="415"/>
      <c r="E66" s="415"/>
      <c r="F66" s="23"/>
      <c r="G66" s="23"/>
      <c r="H66" s="23"/>
      <c r="I66" s="23"/>
      <c r="J66" s="415"/>
      <c r="K66" s="415"/>
      <c r="L66" s="23"/>
      <c r="M66" s="23"/>
      <c r="N66" s="23"/>
      <c r="O66" s="24"/>
    </row>
    <row r="67" spans="1:15" s="22" customFormat="1" ht="15" hidden="1" customHeight="1" x14ac:dyDescent="0.2">
      <c r="A67" s="26"/>
      <c r="B67" s="201"/>
      <c r="C67" s="23"/>
      <c r="D67" s="23"/>
      <c r="E67" s="23"/>
      <c r="F67" s="23"/>
      <c r="G67" s="23"/>
      <c r="H67" s="23"/>
      <c r="I67" s="23"/>
      <c r="J67" s="23"/>
      <c r="K67" s="23"/>
      <c r="L67" s="23"/>
      <c r="M67" s="23"/>
      <c r="N67" s="23"/>
      <c r="O67" s="24"/>
    </row>
    <row r="68" spans="1:15" s="22" customFormat="1" ht="15" customHeight="1" x14ac:dyDescent="0.2">
      <c r="A68" s="26"/>
      <c r="B68" s="201"/>
      <c r="C68" s="201"/>
      <c r="D68" s="207"/>
      <c r="E68" s="207"/>
      <c r="F68" s="207"/>
      <c r="G68" s="207"/>
      <c r="H68" s="207"/>
      <c r="I68" s="201"/>
      <c r="J68" s="207"/>
      <c r="K68" s="207"/>
      <c r="L68" s="207"/>
      <c r="M68" s="207"/>
      <c r="N68" s="201"/>
      <c r="O68" s="24"/>
    </row>
    <row r="69" spans="1:15" s="122" customFormat="1" ht="30" customHeight="1" x14ac:dyDescent="0.25">
      <c r="A69" s="52" t="s">
        <v>556</v>
      </c>
      <c r="B69" s="85"/>
      <c r="C69" s="196"/>
      <c r="D69" s="196"/>
      <c r="E69" s="196"/>
      <c r="F69" s="196"/>
      <c r="G69" s="196"/>
      <c r="H69" s="196"/>
      <c r="I69" s="196"/>
      <c r="J69" s="196"/>
      <c r="K69" s="196"/>
      <c r="L69" s="196"/>
      <c r="M69" s="196"/>
      <c r="N69" s="196"/>
      <c r="O69" s="121"/>
    </row>
    <row r="70" spans="1:15" s="22" customFormat="1" ht="15" customHeight="1" x14ac:dyDescent="0.2">
      <c r="A70" s="26"/>
      <c r="B70" s="402"/>
      <c r="C70" s="201"/>
      <c r="D70" s="96"/>
      <c r="E70" s="96"/>
      <c r="F70" s="96"/>
      <c r="G70" s="96"/>
      <c r="H70" s="96"/>
      <c r="I70" s="201"/>
      <c r="J70" s="96"/>
      <c r="K70" s="96"/>
      <c r="L70" s="96"/>
      <c r="M70" s="96"/>
      <c r="N70" s="201"/>
      <c r="O70" s="24"/>
    </row>
    <row r="71" spans="1:15" s="22" customFormat="1" ht="15" customHeight="1" x14ac:dyDescent="0.2">
      <c r="A71" s="26"/>
      <c r="B71" s="402"/>
      <c r="C71" s="201"/>
      <c r="D71" s="831" t="s">
        <v>564</v>
      </c>
      <c r="E71" s="835"/>
      <c r="F71" s="835"/>
      <c r="G71" s="835"/>
      <c r="H71" s="832"/>
      <c r="I71" s="201"/>
      <c r="J71" s="831" t="s">
        <v>93</v>
      </c>
      <c r="K71" s="835"/>
      <c r="L71" s="835"/>
      <c r="M71" s="835"/>
      <c r="N71" s="832"/>
      <c r="O71" s="24"/>
    </row>
    <row r="72" spans="1:15" s="22" customFormat="1" ht="46.5" customHeight="1" x14ac:dyDescent="0.2">
      <c r="A72" s="26"/>
      <c r="B72" s="391" t="s">
        <v>230</v>
      </c>
      <c r="C72" s="147"/>
      <c r="D72" s="197" t="s">
        <v>643</v>
      </c>
      <c r="E72" s="96"/>
      <c r="F72" s="201"/>
      <c r="G72" s="201"/>
      <c r="H72" s="201"/>
      <c r="I72" s="201"/>
      <c r="J72" s="197" t="s">
        <v>643</v>
      </c>
      <c r="K72" s="96"/>
      <c r="L72" s="201"/>
      <c r="M72" s="201"/>
      <c r="N72" s="201"/>
      <c r="O72" s="24"/>
    </row>
    <row r="73" spans="1:15" s="22" customFormat="1" ht="15" customHeight="1" x14ac:dyDescent="0.2">
      <c r="A73" s="26"/>
      <c r="B73" s="11"/>
      <c r="C73" s="206" t="s">
        <v>477</v>
      </c>
      <c r="D73" s="415"/>
      <c r="E73" s="207"/>
      <c r="F73" s="201"/>
      <c r="G73" s="201"/>
      <c r="H73" s="201"/>
      <c r="I73" s="201"/>
      <c r="J73" s="415"/>
      <c r="K73" s="207"/>
      <c r="L73" s="201"/>
      <c r="M73" s="201"/>
      <c r="N73" s="201"/>
      <c r="O73" s="24"/>
    </row>
    <row r="74" spans="1:15" s="22" customFormat="1" ht="15" customHeight="1" x14ac:dyDescent="0.2">
      <c r="A74" s="26"/>
      <c r="B74" s="8"/>
      <c r="C74" s="204" t="s">
        <v>557</v>
      </c>
      <c r="D74" s="78" t="str">
        <f>IF(D73=D17,"Yes","No")</f>
        <v>Yes</v>
      </c>
      <c r="E74" s="207"/>
      <c r="F74" s="201"/>
      <c r="G74" s="201"/>
      <c r="H74" s="201"/>
      <c r="I74" s="201"/>
      <c r="J74" s="78" t="str">
        <f>IF(J73=J17,"Yes","No")</f>
        <v>Yes</v>
      </c>
      <c r="K74" s="207"/>
      <c r="L74" s="201"/>
      <c r="M74" s="201"/>
      <c r="N74" s="201"/>
      <c r="O74" s="24"/>
    </row>
    <row r="75" spans="1:15" s="22" customFormat="1" ht="15" customHeight="1" x14ac:dyDescent="0.2">
      <c r="A75" s="26"/>
      <c r="B75" s="8"/>
      <c r="C75" s="206" t="s">
        <v>478</v>
      </c>
      <c r="D75" s="415"/>
      <c r="E75" s="207"/>
      <c r="F75" s="201"/>
      <c r="G75" s="201"/>
      <c r="H75" s="201"/>
      <c r="I75" s="201"/>
      <c r="J75" s="415"/>
      <c r="K75" s="207"/>
      <c r="L75" s="201"/>
      <c r="M75" s="201"/>
      <c r="N75" s="201"/>
      <c r="O75" s="24"/>
    </row>
    <row r="76" spans="1:15" s="22" customFormat="1" ht="15" customHeight="1" x14ac:dyDescent="0.2">
      <c r="A76" s="26"/>
      <c r="B76" s="8"/>
      <c r="C76" s="206" t="s">
        <v>479</v>
      </c>
      <c r="D76" s="415"/>
      <c r="E76" s="207"/>
      <c r="F76" s="207"/>
      <c r="G76" s="207"/>
      <c r="H76" s="207"/>
      <c r="I76" s="201"/>
      <c r="J76" s="415"/>
      <c r="K76" s="207"/>
      <c r="L76" s="207"/>
      <c r="M76" s="207"/>
      <c r="N76" s="201"/>
      <c r="O76" s="24"/>
    </row>
    <row r="77" spans="1:15" s="22" customFormat="1" ht="15" customHeight="1" x14ac:dyDescent="0.2">
      <c r="A77" s="26"/>
      <c r="B77" s="8"/>
      <c r="C77" s="206" t="s">
        <v>558</v>
      </c>
      <c r="D77" s="415"/>
      <c r="E77" s="207"/>
      <c r="F77" s="207"/>
      <c r="G77" s="207"/>
      <c r="H77" s="207"/>
      <c r="I77" s="201"/>
      <c r="J77" s="415"/>
      <c r="K77" s="207"/>
      <c r="L77" s="207"/>
      <c r="M77" s="207"/>
      <c r="N77" s="201"/>
      <c r="O77" s="24"/>
    </row>
    <row r="78" spans="1:15" s="22" customFormat="1" ht="15" customHeight="1" x14ac:dyDescent="0.2">
      <c r="A78" s="26"/>
      <c r="B78" s="8"/>
      <c r="C78" s="206" t="s">
        <v>559</v>
      </c>
      <c r="D78" s="415"/>
      <c r="E78" s="207"/>
      <c r="F78" s="207"/>
      <c r="G78" s="207"/>
      <c r="H78" s="207"/>
      <c r="I78" s="201"/>
      <c r="J78" s="415"/>
      <c r="K78" s="207"/>
      <c r="L78" s="207"/>
      <c r="M78" s="207"/>
      <c r="N78" s="201"/>
      <c r="O78" s="24"/>
    </row>
    <row r="79" spans="1:15" s="22" customFormat="1" ht="15" customHeight="1" x14ac:dyDescent="0.2">
      <c r="A79" s="26"/>
      <c r="B79" s="8"/>
      <c r="C79" s="5" t="s">
        <v>466</v>
      </c>
      <c r="D79" s="396" t="str">
        <f>IF(AND(ISNUMBER(D73),ISNUMBER(D75),ISNUMBER(D76),ISNUMBER(D77),ISNUMBER(D78)),SUM(D73,D75,D76,D77,D78),"")</f>
        <v/>
      </c>
      <c r="E79" s="207"/>
      <c r="F79" s="207"/>
      <c r="G79" s="207"/>
      <c r="H79" s="207"/>
      <c r="I79" s="201"/>
      <c r="J79" s="396" t="str">
        <f>IF(AND(ISNUMBER(J73),ISNUMBER(J75),ISNUMBER(J76),ISNUMBER(J77),ISNUMBER(J78)),SUM(J73,J75,J76,J77,J78),"")</f>
        <v/>
      </c>
      <c r="K79" s="207"/>
      <c r="L79" s="207"/>
      <c r="M79" s="207"/>
      <c r="N79" s="201"/>
      <c r="O79" s="24"/>
    </row>
    <row r="80" spans="1:15" s="22" customFormat="1" ht="15" customHeight="1" x14ac:dyDescent="0.2">
      <c r="A80" s="26"/>
      <c r="B80" s="89"/>
      <c r="C80" s="204" t="s">
        <v>560</v>
      </c>
      <c r="D80" s="78" t="str">
        <f>IF(D79=E17,"Yes","No")</f>
        <v>Yes</v>
      </c>
      <c r="E80" s="23"/>
      <c r="F80" s="23"/>
      <c r="G80" s="23"/>
      <c r="H80" s="23"/>
      <c r="I80" s="23"/>
      <c r="J80" s="78" t="str">
        <f>IF(J79=K17,"Yes","No")</f>
        <v>Yes</v>
      </c>
      <c r="K80" s="23"/>
      <c r="L80" s="23"/>
      <c r="M80" s="23"/>
      <c r="N80" s="23"/>
      <c r="O80" s="24"/>
    </row>
    <row r="81" spans="1:16" s="22" customFormat="1" ht="15" customHeight="1" x14ac:dyDescent="0.2">
      <c r="A81" s="26"/>
      <c r="B81" s="206"/>
      <c r="C81" s="203"/>
      <c r="D81" s="203"/>
      <c r="E81" s="203"/>
      <c r="F81" s="203"/>
      <c r="G81" s="203"/>
      <c r="H81" s="203"/>
      <c r="I81" s="203"/>
      <c r="J81" s="203"/>
      <c r="K81" s="203"/>
      <c r="L81" s="203"/>
      <c r="M81" s="203"/>
      <c r="N81" s="203"/>
      <c r="O81" s="24"/>
    </row>
    <row r="82" spans="1:16" s="122" customFormat="1" ht="30" customHeight="1" x14ac:dyDescent="0.25">
      <c r="A82" s="52" t="s">
        <v>561</v>
      </c>
      <c r="B82" s="85"/>
      <c r="C82" s="196"/>
      <c r="D82" s="196"/>
      <c r="E82" s="196"/>
      <c r="F82" s="196"/>
      <c r="G82" s="196"/>
      <c r="H82" s="196"/>
      <c r="I82" s="196"/>
      <c r="J82" s="196"/>
      <c r="K82" s="196"/>
      <c r="L82" s="196"/>
      <c r="M82" s="196"/>
      <c r="N82" s="196"/>
      <c r="O82" s="121"/>
    </row>
    <row r="83" spans="1:16" s="22" customFormat="1" ht="15" customHeight="1" x14ac:dyDescent="0.2">
      <c r="A83" s="26"/>
      <c r="B83" s="200"/>
      <c r="C83" s="200"/>
      <c r="D83" s="200"/>
      <c r="E83" s="200"/>
      <c r="F83" s="715"/>
      <c r="G83" s="715"/>
      <c r="H83" s="200"/>
      <c r="I83" s="200"/>
      <c r="J83" s="200"/>
      <c r="K83" s="200"/>
      <c r="L83" s="715"/>
      <c r="M83" s="715"/>
      <c r="N83" s="200"/>
      <c r="O83" s="24"/>
    </row>
    <row r="84" spans="1:16" s="22" customFormat="1" ht="15" customHeight="1" x14ac:dyDescent="0.2">
      <c r="A84" s="26"/>
      <c r="B84" s="203"/>
      <c r="C84" s="23"/>
      <c r="D84" s="831" t="s">
        <v>564</v>
      </c>
      <c r="E84" s="835"/>
      <c r="F84" s="835"/>
      <c r="G84" s="835"/>
      <c r="H84" s="832"/>
      <c r="J84" s="831" t="s">
        <v>93</v>
      </c>
      <c r="K84" s="835"/>
      <c r="L84" s="835"/>
      <c r="M84" s="835"/>
      <c r="N84" s="832"/>
      <c r="O84" s="24"/>
    </row>
    <row r="85" spans="1:16" s="22" customFormat="1" ht="105" customHeight="1" x14ac:dyDescent="0.2">
      <c r="A85" s="26"/>
      <c r="B85" s="391" t="s">
        <v>230</v>
      </c>
      <c r="C85" s="147"/>
      <c r="D85" s="197" t="s">
        <v>480</v>
      </c>
      <c r="E85" s="197" t="s">
        <v>481</v>
      </c>
      <c r="F85" s="713" t="s">
        <v>1021</v>
      </c>
      <c r="G85" s="713" t="s">
        <v>1022</v>
      </c>
      <c r="H85" s="198" t="s">
        <v>795</v>
      </c>
      <c r="J85" s="197" t="s">
        <v>480</v>
      </c>
      <c r="K85" s="197" t="s">
        <v>481</v>
      </c>
      <c r="L85" s="713" t="s">
        <v>1021</v>
      </c>
      <c r="M85" s="713" t="s">
        <v>1022</v>
      </c>
      <c r="N85" s="198" t="s">
        <v>795</v>
      </c>
      <c r="O85" s="24"/>
      <c r="P85" s="710"/>
    </row>
    <row r="86" spans="1:16" s="22" customFormat="1" ht="15" customHeight="1" x14ac:dyDescent="0.2">
      <c r="A86" s="26"/>
      <c r="B86" s="395">
        <v>165</v>
      </c>
      <c r="C86" s="129" t="s">
        <v>482</v>
      </c>
      <c r="D86" s="194" t="str">
        <f>IF(ISNUMBER(D87),SUM(D87,D88),"")</f>
        <v/>
      </c>
      <c r="E86" s="532"/>
      <c r="F86" s="570"/>
      <c r="G86" s="570"/>
      <c r="H86" s="533"/>
      <c r="J86" s="194" t="str">
        <f>IF(ISNUMBER(J87),SUM(J87,J88),"")</f>
        <v/>
      </c>
      <c r="K86" s="532"/>
      <c r="L86" s="570"/>
      <c r="M86" s="570"/>
      <c r="N86" s="533"/>
      <c r="O86" s="24"/>
    </row>
    <row r="87" spans="1:16" s="22" customFormat="1" ht="15" customHeight="1" x14ac:dyDescent="0.2">
      <c r="A87" s="26"/>
      <c r="B87" s="11"/>
      <c r="C87" s="392" t="s">
        <v>463</v>
      </c>
      <c r="D87" s="377"/>
      <c r="E87" s="536"/>
      <c r="F87" s="543"/>
      <c r="G87" s="543"/>
      <c r="H87" s="537"/>
      <c r="J87" s="377"/>
      <c r="K87" s="536"/>
      <c r="L87" s="543"/>
      <c r="M87" s="543"/>
      <c r="N87" s="537"/>
      <c r="O87" s="24"/>
    </row>
    <row r="88" spans="1:16" s="22" customFormat="1" ht="15" customHeight="1" x14ac:dyDescent="0.2">
      <c r="A88" s="26"/>
      <c r="B88" s="8"/>
      <c r="C88" s="392" t="s">
        <v>464</v>
      </c>
      <c r="D88" s="415"/>
      <c r="E88" s="377"/>
      <c r="F88" s="415"/>
      <c r="G88" s="415"/>
      <c r="H88" s="377"/>
      <c r="J88" s="415"/>
      <c r="K88" s="377"/>
      <c r="L88" s="415"/>
      <c r="M88" s="415"/>
      <c r="N88" s="377"/>
      <c r="O88" s="24"/>
    </row>
    <row r="89" spans="1:16" s="22" customFormat="1" ht="15" customHeight="1" x14ac:dyDescent="0.2">
      <c r="A89" s="26"/>
      <c r="B89" s="89"/>
      <c r="C89" s="392" t="s">
        <v>483</v>
      </c>
      <c r="D89" s="6"/>
      <c r="E89" s="194" t="str">
        <f>IF(AND(ISNUMBER($D87),ISNUMBER(E88)),$D87-E88,"")</f>
        <v/>
      </c>
      <c r="F89" s="194" t="str">
        <f>IF(AND(ISNUMBER($D87),ISNUMBER(F88)),$D87-F88,"")</f>
        <v/>
      </c>
      <c r="G89" s="194" t="str">
        <f>IF(AND(ISNUMBER($D87),ISNUMBER(G88)),$D87-G88,"")</f>
        <v/>
      </c>
      <c r="H89" s="194" t="str">
        <f>IF(AND(ISNUMBER($D87),ISNUMBER(H88)),$D87-H88,"")</f>
        <v/>
      </c>
      <c r="J89" s="6"/>
      <c r="K89" s="194" t="str">
        <f>IF(AND(ISNUMBER($J87),ISNUMBER(K88)),$J87-K88,"")</f>
        <v/>
      </c>
      <c r="L89" s="194" t="str">
        <f>IF(AND(ISNUMBER($J87),ISNUMBER(L88)),$J87-L88,"")</f>
        <v/>
      </c>
      <c r="M89" s="194" t="str">
        <f>IF(AND(ISNUMBER($J87),ISNUMBER(M88)),$J87-M88,"")</f>
        <v/>
      </c>
      <c r="N89" s="194" t="str">
        <f>IF(AND(ISNUMBER($J87),ISNUMBER(N88)),$J87-N88,"")</f>
        <v/>
      </c>
      <c r="O89" s="24"/>
    </row>
    <row r="90" spans="1:16" s="22" customFormat="1" ht="15" hidden="1" customHeight="1" x14ac:dyDescent="0.2">
      <c r="A90" s="26"/>
      <c r="B90" s="200"/>
      <c r="C90" s="201"/>
      <c r="D90" s="201"/>
      <c r="E90" s="201"/>
      <c r="F90" s="201"/>
      <c r="G90" s="201"/>
      <c r="J90" s="201"/>
      <c r="K90" s="201"/>
      <c r="L90" s="201"/>
      <c r="M90" s="201"/>
      <c r="O90" s="24"/>
    </row>
    <row r="91" spans="1:16" s="22" customFormat="1" ht="15" customHeight="1" x14ac:dyDescent="0.2">
      <c r="A91" s="26"/>
      <c r="B91" s="201"/>
      <c r="C91" s="23"/>
      <c r="D91" s="201"/>
      <c r="E91" s="201"/>
      <c r="F91" s="201"/>
      <c r="G91" s="201"/>
      <c r="J91" s="201"/>
      <c r="K91" s="201"/>
      <c r="L91" s="201"/>
      <c r="M91" s="201"/>
      <c r="O91" s="24"/>
    </row>
    <row r="92" spans="1:16" s="22" customFormat="1" ht="15" customHeight="1" x14ac:dyDescent="0.2">
      <c r="A92" s="26"/>
      <c r="B92" s="201"/>
      <c r="C92" s="204" t="s">
        <v>484</v>
      </c>
      <c r="D92" s="78" t="str">
        <f>IF(ISNUMBER(D86),IF(D86=(G37+G40),"Yes","No"),"Yes")</f>
        <v>Yes</v>
      </c>
      <c r="E92" s="532"/>
      <c r="F92" s="570"/>
      <c r="G92" s="570"/>
      <c r="H92" s="533"/>
      <c r="J92" s="78" t="str">
        <f>IF(ISNUMBER(J86),IF(J86=(M37+M40),"Yes","No"),"Yes")</f>
        <v>Yes</v>
      </c>
      <c r="K92" s="532"/>
      <c r="L92" s="570"/>
      <c r="M92" s="570"/>
      <c r="N92" s="533"/>
      <c r="O92" s="24"/>
    </row>
    <row r="93" spans="1:16" s="22" customFormat="1" ht="15" customHeight="1" x14ac:dyDescent="0.2">
      <c r="A93" s="26"/>
      <c r="B93" s="201"/>
      <c r="C93" s="204" t="s">
        <v>485</v>
      </c>
      <c r="D93" s="78" t="str">
        <f>IF(D87=G37,"Yes","No")</f>
        <v>Yes</v>
      </c>
      <c r="E93" s="534"/>
      <c r="F93" s="505"/>
      <c r="G93" s="505"/>
      <c r="H93" s="535"/>
      <c r="J93" s="78" t="str">
        <f>IF(J87=M37,"Yes","No")</f>
        <v>Yes</v>
      </c>
      <c r="K93" s="534"/>
      <c r="L93" s="505"/>
      <c r="M93" s="505"/>
      <c r="N93" s="535"/>
      <c r="O93" s="24"/>
    </row>
    <row r="94" spans="1:16" s="22" customFormat="1" ht="15" customHeight="1" x14ac:dyDescent="0.2">
      <c r="A94" s="26"/>
      <c r="B94" s="201"/>
      <c r="C94" s="204" t="s">
        <v>486</v>
      </c>
      <c r="D94" s="78" t="str">
        <f>IF(D88=G40,"Yes","No")</f>
        <v>Yes</v>
      </c>
      <c r="E94" s="536"/>
      <c r="F94" s="543"/>
      <c r="G94" s="543"/>
      <c r="H94" s="537"/>
      <c r="J94" s="78" t="str">
        <f>IF(J88=M40,"Yes","No")</f>
        <v>Yes</v>
      </c>
      <c r="K94" s="536"/>
      <c r="L94" s="543"/>
      <c r="M94" s="543"/>
      <c r="N94" s="537"/>
      <c r="O94" s="24"/>
    </row>
    <row r="95" spans="1:16" s="22" customFormat="1" ht="30" customHeight="1" x14ac:dyDescent="0.2">
      <c r="A95" s="26"/>
      <c r="B95" s="201"/>
      <c r="C95" s="205" t="s">
        <v>562</v>
      </c>
      <c r="D95" s="78" t="str">
        <f>IF(E88&lt;=D87,"Yes","No")</f>
        <v>Yes</v>
      </c>
      <c r="E95" s="78" t="str">
        <f>IF(E88&lt;=D88,"Yes","No")</f>
        <v>Yes</v>
      </c>
      <c r="F95" s="78" t="str">
        <f>IF(F88&lt;=E88,"Yes","No")</f>
        <v>Yes</v>
      </c>
      <c r="G95" s="78" t="str">
        <f>IF(G88&lt;=F88,"Yes","No")</f>
        <v>Yes</v>
      </c>
      <c r="H95" s="78" t="str">
        <f>IF(H88&lt;=G88,"Yes","No")</f>
        <v>Yes</v>
      </c>
      <c r="J95" s="78" t="str">
        <f>IF(K88&lt;=J87,"Yes","No")</f>
        <v>Yes</v>
      </c>
      <c r="K95" s="78" t="str">
        <f>IF(K88&lt;=J88,"Yes","No")</f>
        <v>Yes</v>
      </c>
      <c r="L95" s="78" t="str">
        <f>IF(L88&lt;=K88,"Yes","No")</f>
        <v>Yes</v>
      </c>
      <c r="M95" s="78" t="str">
        <f>IF(M88&lt;=L88,"Yes","No")</f>
        <v>Yes</v>
      </c>
      <c r="N95" s="78" t="str">
        <f>IF(N88&lt;=M88,"Yes","No")</f>
        <v>Yes</v>
      </c>
      <c r="O95" s="24"/>
      <c r="P95" s="710"/>
    </row>
    <row r="96" spans="1:16" s="22" customFormat="1" ht="15" customHeight="1" x14ac:dyDescent="0.2">
      <c r="A96" s="26"/>
      <c r="B96" s="201"/>
      <c r="C96" s="201"/>
      <c r="D96" s="201"/>
      <c r="E96" s="201"/>
      <c r="F96" s="201"/>
      <c r="G96" s="201"/>
      <c r="H96" s="714"/>
      <c r="I96" s="201"/>
      <c r="J96" s="201"/>
      <c r="K96" s="201"/>
      <c r="L96" s="201"/>
      <c r="M96" s="201"/>
      <c r="N96" s="714"/>
      <c r="O96" s="24"/>
      <c r="P96" s="710"/>
    </row>
    <row r="97" spans="1:16" s="22" customFormat="1" ht="15" hidden="1" customHeight="1" x14ac:dyDescent="0.2">
      <c r="A97" s="26"/>
      <c r="B97" s="203"/>
      <c r="C97" s="201"/>
      <c r="D97" s="201"/>
      <c r="E97" s="201"/>
      <c r="F97" s="201"/>
      <c r="G97" s="201"/>
      <c r="H97" s="201"/>
      <c r="I97" s="201"/>
      <c r="J97" s="201"/>
      <c r="K97" s="201"/>
      <c r="L97" s="201"/>
      <c r="M97" s="201"/>
      <c r="N97" s="201"/>
      <c r="O97" s="24"/>
    </row>
    <row r="98" spans="1:16" s="122" customFormat="1" ht="30" customHeight="1" x14ac:dyDescent="0.25">
      <c r="A98" s="52" t="s">
        <v>811</v>
      </c>
      <c r="B98" s="85"/>
      <c r="C98" s="196"/>
      <c r="D98" s="196"/>
      <c r="E98" s="196"/>
      <c r="F98" s="196"/>
      <c r="G98" s="196"/>
      <c r="H98" s="196"/>
      <c r="I98" s="196"/>
      <c r="J98" s="196"/>
      <c r="K98" s="196"/>
      <c r="L98" s="196"/>
      <c r="M98" s="196"/>
      <c r="N98" s="196"/>
      <c r="O98" s="121"/>
    </row>
    <row r="99" spans="1:16" s="22" customFormat="1" ht="15" customHeight="1" x14ac:dyDescent="0.2">
      <c r="A99" s="26"/>
      <c r="B99" s="201"/>
      <c r="C99" s="201"/>
      <c r="D99" s="201"/>
      <c r="E99" s="201"/>
      <c r="F99" s="201"/>
      <c r="G99" s="201"/>
      <c r="H99" s="201"/>
      <c r="I99" s="201"/>
      <c r="J99" s="201"/>
      <c r="K99" s="201"/>
      <c r="L99" s="201"/>
      <c r="M99" s="201"/>
      <c r="N99" s="201"/>
      <c r="O99" s="24"/>
    </row>
    <row r="100" spans="1:16" s="22" customFormat="1" ht="15" customHeight="1" x14ac:dyDescent="0.2">
      <c r="A100" s="26"/>
      <c r="B100" s="203"/>
      <c r="C100" s="201"/>
      <c r="D100" s="831" t="s">
        <v>564</v>
      </c>
      <c r="E100" s="835"/>
      <c r="F100" s="835"/>
      <c r="G100" s="835"/>
      <c r="H100" s="832"/>
      <c r="J100" s="831" t="s">
        <v>93</v>
      </c>
      <c r="K100" s="835"/>
      <c r="L100" s="835"/>
      <c r="M100" s="835"/>
      <c r="N100" s="832"/>
      <c r="O100" s="24"/>
    </row>
    <row r="101" spans="1:16" s="22" customFormat="1" ht="30" customHeight="1" x14ac:dyDescent="0.2">
      <c r="A101" s="26"/>
      <c r="B101" s="391" t="s">
        <v>230</v>
      </c>
      <c r="C101" s="147"/>
      <c r="D101" s="197" t="s">
        <v>798</v>
      </c>
      <c r="E101" s="197" t="s">
        <v>799</v>
      </c>
      <c r="F101" s="198" t="s">
        <v>800</v>
      </c>
      <c r="G101" s="201"/>
      <c r="H101" s="201"/>
      <c r="I101" s="201"/>
      <c r="J101" s="197" t="s">
        <v>798</v>
      </c>
      <c r="K101" s="197" t="s">
        <v>799</v>
      </c>
      <c r="L101" s="198" t="s">
        <v>800</v>
      </c>
      <c r="M101" s="201"/>
      <c r="N101" s="201"/>
      <c r="O101" s="24"/>
    </row>
    <row r="102" spans="1:16" s="22" customFormat="1" ht="15" customHeight="1" x14ac:dyDescent="0.2">
      <c r="A102" s="26"/>
      <c r="B102" s="395">
        <v>156</v>
      </c>
      <c r="C102" s="150" t="s">
        <v>801</v>
      </c>
      <c r="D102" s="194" t="str">
        <f>IF(AND(ISNUMBER(D103),ISNUMBER(D104),ISNUMBER(D105)),SUM(D103:D105),"")</f>
        <v/>
      </c>
      <c r="E102" s="194" t="str">
        <f>IF(AND(ISNUMBER(E103),ISNUMBER(E104),ISNUMBER(E105)),SUM(E103:E105),"")</f>
        <v/>
      </c>
      <c r="F102" s="194" t="str">
        <f>IF(AND(ISNUMBER(F103),ISNUMBER(F104),ISNUMBER(F105)),SUM(F103:F105),"")</f>
        <v/>
      </c>
      <c r="G102" s="201"/>
      <c r="H102" s="201"/>
      <c r="I102" s="201"/>
      <c r="J102" s="399" t="str">
        <f>IF(AND(ISNUMBER(J103),ISNUMBER(J104),ISNUMBER(J105)),SUM(J103:J105),"")</f>
        <v/>
      </c>
      <c r="K102" s="399" t="str">
        <f>IF(AND(ISNUMBER(K103),ISNUMBER(K104),ISNUMBER(K105)),SUM(K103:K105),"")</f>
        <v/>
      </c>
      <c r="L102" s="399" t="str">
        <f>IF(AND(ISNUMBER(L103),ISNUMBER(L104),ISNUMBER(L105)),SUM(L103:L105),"")</f>
        <v/>
      </c>
      <c r="M102" s="201"/>
      <c r="N102" s="201"/>
      <c r="O102" s="24"/>
    </row>
    <row r="103" spans="1:16" s="22" customFormat="1" ht="15" customHeight="1" x14ac:dyDescent="0.2">
      <c r="A103" s="26"/>
      <c r="B103" s="11"/>
      <c r="C103" s="572" t="s">
        <v>803</v>
      </c>
      <c r="D103" s="568"/>
      <c r="E103" s="568"/>
      <c r="F103" s="568"/>
      <c r="G103" s="201"/>
      <c r="H103" s="201"/>
      <c r="I103" s="201"/>
      <c r="J103" s="377"/>
      <c r="K103" s="568"/>
      <c r="L103" s="568"/>
      <c r="M103" s="201"/>
      <c r="N103" s="201"/>
      <c r="O103" s="24"/>
    </row>
    <row r="104" spans="1:16" s="22" customFormat="1" ht="15" customHeight="1" x14ac:dyDescent="0.2">
      <c r="A104" s="26"/>
      <c r="B104" s="8"/>
      <c r="C104" s="572" t="s">
        <v>538</v>
      </c>
      <c r="D104" s="568"/>
      <c r="E104" s="568"/>
      <c r="F104" s="568"/>
      <c r="G104" s="201"/>
      <c r="H104" s="201"/>
      <c r="I104" s="201"/>
      <c r="J104" s="377"/>
      <c r="K104" s="568"/>
      <c r="L104" s="568"/>
      <c r="M104" s="201"/>
      <c r="N104" s="201"/>
      <c r="O104" s="24"/>
    </row>
    <row r="105" spans="1:16" s="22" customFormat="1" ht="15" customHeight="1" x14ac:dyDescent="0.2">
      <c r="A105" s="26"/>
      <c r="B105" s="8"/>
      <c r="C105" s="572" t="s">
        <v>185</v>
      </c>
      <c r="D105" s="568"/>
      <c r="E105" s="568"/>
      <c r="F105" s="568"/>
      <c r="G105" s="201"/>
      <c r="H105" s="201"/>
      <c r="I105" s="201"/>
      <c r="J105" s="377"/>
      <c r="K105" s="568"/>
      <c r="L105" s="568"/>
      <c r="M105" s="201"/>
      <c r="N105" s="201"/>
      <c r="O105" s="24"/>
    </row>
    <row r="106" spans="1:16" s="22" customFormat="1" ht="15" customHeight="1" x14ac:dyDescent="0.2">
      <c r="A106" s="26"/>
      <c r="B106" s="8"/>
      <c r="C106" s="150" t="s">
        <v>802</v>
      </c>
      <c r="D106" s="194" t="str">
        <f>IF(AND(ISNUMBER(D107),ISNUMBER(D108),ISNUMBER(D110),ISNUMBER(D111)),SUM(D107,D108,D110,D111),"")</f>
        <v/>
      </c>
      <c r="E106" s="194" t="str">
        <f>IF(AND(ISNUMBER(E107),ISNUMBER(E108),ISNUMBER(E110),ISNUMBER(E111)),SUM(E107,E108,E110,E111),"")</f>
        <v/>
      </c>
      <c r="F106" s="194" t="str">
        <f>IF(AND(ISNUMBER(F107),ISNUMBER(F108),ISNUMBER(F110),ISNUMBER(F111)),SUM(F107,F108,F110,F111),"")</f>
        <v/>
      </c>
      <c r="G106" s="201"/>
      <c r="H106" s="201"/>
      <c r="I106" s="201"/>
      <c r="J106" s="194" t="str">
        <f>IF(AND(ISNUMBER(J107),ISNUMBER(J108),ISNUMBER(J110),ISNUMBER(J111)),SUM(J107,J108,J110,J111),"")</f>
        <v/>
      </c>
      <c r="K106" s="194" t="str">
        <f>IF(AND(ISNUMBER(K107),ISNUMBER(K108),ISNUMBER(K110),ISNUMBER(K111)),SUM(K107,K108,K110,K111),"")</f>
        <v/>
      </c>
      <c r="L106" s="194" t="str">
        <f>IF(AND(ISNUMBER(L107),ISNUMBER(L108),ISNUMBER(L110),ISNUMBER(L111)),SUM(L107,L108,L110,L111),"")</f>
        <v/>
      </c>
      <c r="M106" s="201"/>
      <c r="N106" s="201"/>
      <c r="O106" s="24"/>
      <c r="P106" s="710"/>
    </row>
    <row r="107" spans="1:16" s="22" customFormat="1" ht="15" customHeight="1" x14ac:dyDescent="0.2">
      <c r="A107" s="26"/>
      <c r="B107" s="8"/>
      <c r="C107" s="572" t="s">
        <v>804</v>
      </c>
      <c r="D107" s="568"/>
      <c r="E107" s="568"/>
      <c r="F107" s="568"/>
      <c r="G107" s="201"/>
      <c r="H107" s="201"/>
      <c r="I107" s="201"/>
      <c r="J107" s="377"/>
      <c r="K107" s="568"/>
      <c r="L107" s="568"/>
      <c r="M107" s="201"/>
      <c r="N107" s="201"/>
      <c r="O107" s="24"/>
    </row>
    <row r="108" spans="1:16" s="22" customFormat="1" ht="15" customHeight="1" x14ac:dyDescent="0.2">
      <c r="A108" s="26"/>
      <c r="B108" s="8"/>
      <c r="C108" s="572" t="s">
        <v>1023</v>
      </c>
      <c r="D108" s="568"/>
      <c r="E108" s="568"/>
      <c r="F108" s="568"/>
      <c r="G108" s="201"/>
      <c r="H108" s="201"/>
      <c r="I108" s="201"/>
      <c r="J108" s="377"/>
      <c r="K108" s="568"/>
      <c r="L108" s="568"/>
      <c r="M108" s="201"/>
      <c r="N108" s="201"/>
      <c r="O108" s="24"/>
      <c r="P108" s="710"/>
    </row>
    <row r="109" spans="1:16" s="22" customFormat="1" ht="15" customHeight="1" x14ac:dyDescent="0.2">
      <c r="A109" s="26"/>
      <c r="B109" s="8"/>
      <c r="C109" s="572" t="s">
        <v>805</v>
      </c>
      <c r="D109" s="194" t="str">
        <f>IF(AND(ISNUMBER(D110),ISNUMBER(D111)),SUM(D110,D111),"")</f>
        <v/>
      </c>
      <c r="E109" s="194" t="str">
        <f>IF(AND(ISNUMBER(E110),ISNUMBER(E111)),SUM(E110,E111),"")</f>
        <v/>
      </c>
      <c r="F109" s="194" t="str">
        <f>IF(AND(ISNUMBER(F110),ISNUMBER(F111)),SUM(F110,F111),"")</f>
        <v/>
      </c>
      <c r="G109" s="201"/>
      <c r="H109" s="201"/>
      <c r="I109" s="201"/>
      <c r="J109" s="399" t="str">
        <f>IF(AND(ISNUMBER(J110),ISNUMBER(J111)),SUM(J110,J111),"")</f>
        <v/>
      </c>
      <c r="K109" s="399" t="str">
        <f>IF(AND(ISNUMBER(K110),ISNUMBER(K111)),SUM(K110,K111),"")</f>
        <v/>
      </c>
      <c r="L109" s="399" t="str">
        <f>IF(AND(ISNUMBER(L110),ISNUMBER(L111)),SUM(L110,L111),"")</f>
        <v/>
      </c>
      <c r="M109" s="201"/>
      <c r="N109" s="201"/>
      <c r="O109" s="24"/>
    </row>
    <row r="110" spans="1:16" s="22" customFormat="1" ht="15" customHeight="1" x14ac:dyDescent="0.2">
      <c r="A110" s="26"/>
      <c r="B110" s="8"/>
      <c r="C110" s="573" t="s">
        <v>806</v>
      </c>
      <c r="D110" s="568"/>
      <c r="E110" s="568"/>
      <c r="F110" s="568"/>
      <c r="G110" s="201"/>
      <c r="H110" s="201"/>
      <c r="I110" s="201"/>
      <c r="J110" s="377"/>
      <c r="K110" s="568"/>
      <c r="L110" s="568"/>
      <c r="M110" s="201"/>
      <c r="N110" s="201"/>
      <c r="O110" s="24"/>
    </row>
    <row r="111" spans="1:16" s="22" customFormat="1" ht="15" customHeight="1" x14ac:dyDescent="0.2">
      <c r="A111" s="26"/>
      <c r="B111" s="8"/>
      <c r="C111" s="573" t="s">
        <v>807</v>
      </c>
      <c r="D111" s="568"/>
      <c r="E111" s="568"/>
      <c r="F111" s="568"/>
      <c r="G111" s="201"/>
      <c r="H111" s="201"/>
      <c r="I111" s="201"/>
      <c r="J111" s="377"/>
      <c r="K111" s="568"/>
      <c r="L111" s="568"/>
      <c r="M111" s="201"/>
      <c r="N111" s="201"/>
      <c r="O111" s="24"/>
    </row>
    <row r="112" spans="1:16" s="22" customFormat="1" ht="15" customHeight="1" x14ac:dyDescent="0.2">
      <c r="A112" s="26"/>
      <c r="B112" s="89"/>
      <c r="C112" s="575" t="s">
        <v>466</v>
      </c>
      <c r="D112" s="574" t="str">
        <f>IF(AND(ISNUMBER(D102),ISNUMBER(D106)),SUM(D102,D106),"")</f>
        <v/>
      </c>
      <c r="E112" s="574" t="str">
        <f>IF(AND(ISNUMBER(E102),ISNUMBER(E106)),SUM(E102,E106),"")</f>
        <v/>
      </c>
      <c r="F112" s="574" t="str">
        <f>IF(AND(ISNUMBER(F102),ISNUMBER(F106)),SUM(F102,F106),"")</f>
        <v/>
      </c>
      <c r="G112" s="201"/>
      <c r="H112" s="201"/>
      <c r="I112" s="201"/>
      <c r="J112" s="396" t="str">
        <f>IF(AND(ISNUMBER(J102),ISNUMBER(J106)),SUM(J102,J106),"")</f>
        <v/>
      </c>
      <c r="K112" s="396" t="str">
        <f>IF(AND(ISNUMBER(K102),ISNUMBER(K106)),SUM(K102,K106),"")</f>
        <v/>
      </c>
      <c r="L112" s="396" t="str">
        <f>IF(AND(ISNUMBER(L102),ISNUMBER(L106)),SUM(L102,L106),"")</f>
        <v/>
      </c>
      <c r="M112" s="201"/>
      <c r="N112" s="201"/>
      <c r="O112" s="24"/>
    </row>
    <row r="113" spans="1:16" s="22" customFormat="1" ht="15" customHeight="1" x14ac:dyDescent="0.2">
      <c r="A113" s="26"/>
      <c r="B113" s="201"/>
      <c r="C113" s="201"/>
      <c r="D113" s="201"/>
      <c r="E113" s="201"/>
      <c r="F113" s="201"/>
      <c r="G113" s="201"/>
      <c r="H113" s="201"/>
      <c r="I113" s="201"/>
      <c r="J113" s="206"/>
      <c r="K113" s="201"/>
      <c r="L113" s="201"/>
      <c r="M113" s="201"/>
      <c r="N113" s="201"/>
      <c r="O113" s="24"/>
    </row>
    <row r="114" spans="1:16" s="22" customFormat="1" ht="15" customHeight="1" x14ac:dyDescent="0.2">
      <c r="A114" s="26"/>
      <c r="B114" s="201"/>
      <c r="C114" s="150" t="s">
        <v>808</v>
      </c>
      <c r="D114" s="568"/>
      <c r="E114" s="568"/>
      <c r="F114" s="568"/>
      <c r="G114" s="201"/>
      <c r="H114" s="201"/>
      <c r="I114" s="201"/>
      <c r="J114" s="377"/>
      <c r="K114" s="568"/>
      <c r="L114" s="568"/>
      <c r="M114" s="201"/>
      <c r="N114" s="201"/>
      <c r="O114" s="24"/>
    </row>
    <row r="115" spans="1:16" s="22" customFormat="1" ht="15" customHeight="1" x14ac:dyDescent="0.2">
      <c r="A115" s="26"/>
      <c r="B115" s="201"/>
      <c r="C115" s="716" t="s">
        <v>1024</v>
      </c>
      <c r="D115" s="568"/>
      <c r="E115" s="568"/>
      <c r="F115" s="568"/>
      <c r="G115" s="201"/>
      <c r="H115" s="201"/>
      <c r="I115" s="201"/>
      <c r="J115" s="377"/>
      <c r="K115" s="568"/>
      <c r="L115" s="568"/>
      <c r="M115" s="201"/>
      <c r="N115" s="201"/>
      <c r="O115" s="24"/>
      <c r="P115" s="710"/>
    </row>
    <row r="116" spans="1:16" s="22" customFormat="1" ht="30" customHeight="1" x14ac:dyDescent="0.2">
      <c r="A116" s="26"/>
      <c r="B116" s="201"/>
      <c r="C116" s="716" t="s">
        <v>1025</v>
      </c>
      <c r="D116" s="568"/>
      <c r="E116" s="568"/>
      <c r="F116" s="568"/>
      <c r="G116" s="201"/>
      <c r="H116" s="201"/>
      <c r="I116" s="201"/>
      <c r="J116" s="377"/>
      <c r="K116" s="568"/>
      <c r="L116" s="568"/>
      <c r="M116" s="201"/>
      <c r="N116" s="201"/>
      <c r="O116" s="24"/>
      <c r="P116" s="710"/>
    </row>
    <row r="117" spans="1:16" s="22" customFormat="1" ht="15" customHeight="1" x14ac:dyDescent="0.2">
      <c r="A117" s="26"/>
      <c r="B117" s="201"/>
      <c r="C117" s="150" t="s">
        <v>809</v>
      </c>
      <c r="D117" s="415"/>
      <c r="E117" s="415"/>
      <c r="F117" s="415"/>
      <c r="G117" s="201"/>
      <c r="H117" s="201"/>
      <c r="I117" s="201"/>
      <c r="J117" s="576"/>
      <c r="K117" s="576"/>
      <c r="L117" s="576"/>
      <c r="M117" s="201"/>
      <c r="N117" s="201"/>
      <c r="O117" s="24"/>
    </row>
    <row r="118" spans="1:16" s="22" customFormat="1" ht="15" customHeight="1" x14ac:dyDescent="0.2">
      <c r="A118" s="26"/>
      <c r="B118" s="203"/>
      <c r="C118" s="201"/>
      <c r="D118" s="201"/>
      <c r="E118" s="201"/>
      <c r="F118" s="201"/>
      <c r="G118" s="201"/>
      <c r="H118" s="201"/>
      <c r="I118" s="201"/>
      <c r="J118" s="201"/>
      <c r="K118" s="201"/>
      <c r="L118" s="201"/>
      <c r="M118" s="201"/>
      <c r="N118" s="201"/>
      <c r="O118" s="24"/>
    </row>
    <row r="119" spans="1:16" s="122" customFormat="1" ht="30" customHeight="1" x14ac:dyDescent="0.25">
      <c r="A119" s="52" t="s">
        <v>796</v>
      </c>
      <c r="B119" s="85"/>
      <c r="C119" s="196"/>
      <c r="D119" s="196"/>
      <c r="E119" s="196"/>
      <c r="F119" s="196"/>
      <c r="G119" s="196"/>
      <c r="H119" s="196"/>
      <c r="I119" s="196"/>
      <c r="J119" s="196"/>
      <c r="K119" s="196"/>
      <c r="L119" s="196"/>
      <c r="M119" s="196"/>
      <c r="N119" s="196"/>
      <c r="O119" s="121"/>
    </row>
    <row r="120" spans="1:16" s="22" customFormat="1" ht="15" customHeight="1" x14ac:dyDescent="0.2">
      <c r="A120" s="26"/>
      <c r="B120" s="200"/>
      <c r="C120" s="200"/>
      <c r="D120" s="200"/>
      <c r="E120" s="200"/>
      <c r="F120" s="200"/>
      <c r="G120" s="200"/>
      <c r="H120" s="200"/>
      <c r="I120" s="200"/>
      <c r="J120" s="200"/>
      <c r="K120" s="200"/>
      <c r="L120" s="200"/>
      <c r="M120" s="200"/>
      <c r="N120" s="200"/>
      <c r="O120" s="24"/>
    </row>
    <row r="121" spans="1:16" s="22" customFormat="1" ht="15" customHeight="1" x14ac:dyDescent="0.2">
      <c r="A121" s="26"/>
      <c r="B121" s="203"/>
      <c r="C121" s="23"/>
      <c r="D121" s="831" t="s">
        <v>564</v>
      </c>
      <c r="E121" s="835"/>
      <c r="F121" s="835"/>
      <c r="G121" s="835"/>
      <c r="H121" s="832"/>
      <c r="J121" s="831" t="s">
        <v>93</v>
      </c>
      <c r="K121" s="835"/>
      <c r="L121" s="835"/>
      <c r="M121" s="835"/>
      <c r="N121" s="832"/>
      <c r="O121" s="24"/>
    </row>
    <row r="122" spans="1:16" s="22" customFormat="1" ht="32.25" customHeight="1" x14ac:dyDescent="0.2">
      <c r="A122" s="26"/>
      <c r="B122" s="391" t="s">
        <v>230</v>
      </c>
      <c r="C122" s="147"/>
      <c r="D122" s="197" t="s">
        <v>487</v>
      </c>
      <c r="E122" s="201"/>
      <c r="F122" s="201"/>
      <c r="G122" s="201"/>
      <c r="H122" s="201"/>
      <c r="I122" s="201"/>
      <c r="J122" s="197" t="s">
        <v>487</v>
      </c>
      <c r="K122" s="201"/>
      <c r="L122" s="201"/>
      <c r="M122" s="201"/>
      <c r="N122" s="201"/>
      <c r="O122" s="24"/>
    </row>
    <row r="123" spans="1:16" s="22" customFormat="1" ht="15" customHeight="1" x14ac:dyDescent="0.2">
      <c r="A123" s="26"/>
      <c r="B123" s="20">
        <v>154</v>
      </c>
      <c r="C123" s="129" t="s">
        <v>129</v>
      </c>
      <c r="D123" s="577" t="str">
        <f>IF(ISNUMBER(DefCapB3!$D75),DefCapB3!$D75,"")</f>
        <v/>
      </c>
      <c r="E123" s="202"/>
      <c r="F123" s="201"/>
      <c r="G123" s="201"/>
      <c r="H123" s="201"/>
      <c r="I123" s="201"/>
      <c r="J123" s="577" t="str">
        <f>IF(ISNUMBER(DefCapB3!$D75),DefCapB3!$D75,"")</f>
        <v/>
      </c>
      <c r="K123" s="202"/>
      <c r="L123" s="201"/>
      <c r="M123" s="201"/>
      <c r="N123" s="201"/>
      <c r="O123" s="24"/>
    </row>
    <row r="124" spans="1:16" s="22" customFormat="1" ht="15" customHeight="1" x14ac:dyDescent="0.2">
      <c r="A124" s="26"/>
      <c r="B124" s="8"/>
      <c r="C124" s="129" t="s">
        <v>492</v>
      </c>
      <c r="D124" s="194" t="str">
        <f>IF(AND(E124,F124),SUM(F9,E13,F13,E16,E20,-E21,E36,((G44+G45)*0.1),(G43-(G44+G45)),G46,G47,G48,H89,D102:F102,D107:F108,(SUM(D110:F110)*0.1), D111:F111,-(SUM(D114:F114))),"")</f>
        <v/>
      </c>
      <c r="E124" s="201" t="b">
        <f>AND(ISNUMBER(F9),ISNUMBER(E13),ISNUMBER(F13),ISNUMBER(E16),ISNUMBER(E20),ISNUMBER(E21),ISNUMBER(E36),ISNUMBER(G43),ISNUMBER(G44),ISNUMBER(G45),ISNUMBER(G46),ISNUMBER(G47),ISNUMBER(G48),ISNUMBER(H89))</f>
        <v>0</v>
      </c>
      <c r="F124" s="201" t="b">
        <f>AND(ISNUMBER(D102),ISNUMBER(E102),ISNUMBER(F102),ISNUMBER(D107),ISNUMBER(E107),ISNUMBER(F107),ISNUMBER(D108),ISNUMBER(E108),ISNUMBER(F108),ISNUMBER(D110),ISNUMBER(E110),ISNUMBER(F110),ISNUMBER(D111),ISNUMBER(E111),ISNUMBER(F111),ISNUMBER(D114),ISNUMBER(E114),ISNUMBER(F114))</f>
        <v>0</v>
      </c>
      <c r="G124" s="201"/>
      <c r="H124" s="201"/>
      <c r="I124" s="201"/>
      <c r="J124" s="194" t="str">
        <f>IF(AND(K124,L124),SUM(L9,K13,L13,K16,K20,-K21,K36,((M44+M45)*0.1),(M43-(M44+M45)),M46,M47,M48,N89,J102:L102,J107:L108,(SUM(J110:L110)*0.1), J111:L111,-(SUM(J114:L114))),"")</f>
        <v/>
      </c>
      <c r="K124" s="201" t="b">
        <f>AND(ISNUMBER(L9),ISNUMBER(K13),ISNUMBER(L13),ISNUMBER(K16),ISNUMBER(K20),ISNUMBER(K21),ISNUMBER(K36),ISNUMBER(M43),ISNUMBER(M44),ISNUMBER(M45),ISNUMBER(M46),ISNUMBER(M47),ISNUMBER(M48),ISNUMBER(N89))</f>
        <v>0</v>
      </c>
      <c r="L124" s="201" t="b">
        <f>AND(ISNUMBER(J102),ISNUMBER(K102),ISNUMBER(L102),ISNUMBER(J107),ISNUMBER(K107),ISNUMBER(L107),ISNUMBER(J108),ISNUMBER(K108),ISNUMBER(L108),ISNUMBER(J110),ISNUMBER(K110),ISNUMBER(L110),ISNUMBER(J111),ISNUMBER(K111),ISNUMBER(L111),ISNUMBER(J114),ISNUMBER(K114),ISNUMBER(L114))</f>
        <v>0</v>
      </c>
      <c r="M124" s="201"/>
      <c r="N124" s="201"/>
      <c r="O124" s="24"/>
      <c r="P124" s="710"/>
    </row>
    <row r="125" spans="1:16" s="22" customFormat="1" ht="15" customHeight="1" x14ac:dyDescent="0.2">
      <c r="A125" s="26"/>
      <c r="B125" s="20">
        <v>155</v>
      </c>
      <c r="C125" s="109" t="s">
        <v>389</v>
      </c>
      <c r="D125" s="577"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E125" s="201"/>
      <c r="F125" s="201"/>
      <c r="G125" s="201"/>
      <c r="H125" s="201"/>
      <c r="I125" s="201"/>
      <c r="J125" s="577"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K125" s="201"/>
      <c r="L125" s="201"/>
      <c r="M125" s="201"/>
      <c r="N125" s="201"/>
      <c r="O125" s="24"/>
    </row>
    <row r="126" spans="1:16" s="22" customFormat="1" ht="30" customHeight="1" x14ac:dyDescent="0.2">
      <c r="A126" s="26"/>
      <c r="B126" s="8"/>
      <c r="C126" s="717" t="s">
        <v>1027</v>
      </c>
      <c r="D126" s="377"/>
      <c r="E126" s="201"/>
      <c r="F126" s="201"/>
      <c r="G126" s="201"/>
      <c r="H126" s="201"/>
      <c r="I126" s="201"/>
      <c r="J126" s="377"/>
      <c r="K126" s="201"/>
      <c r="L126" s="201"/>
      <c r="M126" s="201"/>
      <c r="N126" s="201"/>
      <c r="O126" s="24"/>
      <c r="P126" s="710"/>
    </row>
    <row r="127" spans="1:16" s="22" customFormat="1" ht="15" customHeight="1" x14ac:dyDescent="0.2">
      <c r="A127" s="26"/>
      <c r="B127" s="8"/>
      <c r="C127" s="717" t="s">
        <v>1026</v>
      </c>
      <c r="D127" s="577" t="str">
        <f>IF(AND(ISNUMBER(D115),ISNUMBER(E115),ISNUMBER(F115),ISNUMBER(D116),ISNUMBER(E116),ISNUMBER(F116),ISNUMBER(D126)),(SUM(D115:F116))+D126,"")</f>
        <v/>
      </c>
      <c r="E127" s="201"/>
      <c r="F127" s="201"/>
      <c r="G127" s="201"/>
      <c r="H127" s="201"/>
      <c r="I127" s="201"/>
      <c r="J127" s="577" t="str">
        <f>IF(AND(ISNUMBER(J115),ISNUMBER(K115),ISNUMBER(L115),ISNUMBER(J116),ISNUMBER(K116),ISNUMBER(L116),ISNUMBER(J126)),(SUM(J115:L116))+J126,"")</f>
        <v/>
      </c>
      <c r="K127" s="201"/>
      <c r="L127" s="201"/>
      <c r="M127" s="201"/>
      <c r="N127" s="201"/>
      <c r="O127" s="24"/>
      <c r="P127" s="710"/>
    </row>
    <row r="128" spans="1:16" s="22" customFormat="1" ht="15" customHeight="1" x14ac:dyDescent="0.2">
      <c r="A128" s="26"/>
      <c r="B128" s="8"/>
      <c r="C128" s="129" t="s">
        <v>493</v>
      </c>
      <c r="D128" s="577" t="str">
        <f>IF(AND(ISNUMBER(D124),ISNUMBER(D125),ISNUMBER(D127)),D124-D125-D127,"")</f>
        <v/>
      </c>
      <c r="E128" s="201"/>
      <c r="F128" s="201"/>
      <c r="G128" s="201"/>
      <c r="H128" s="201"/>
      <c r="I128" s="201"/>
      <c r="J128" s="577" t="str">
        <f>IF(AND(ISNUMBER(J124),ISNUMBER(J125),ISNUMBER(J127)),J124-J125-J127,"")</f>
        <v/>
      </c>
      <c r="K128" s="201"/>
      <c r="L128" s="201"/>
      <c r="M128" s="201"/>
      <c r="N128" s="201"/>
      <c r="O128" s="24"/>
      <c r="P128" s="710"/>
    </row>
    <row r="129" spans="1:16" s="22" customFormat="1" ht="15" customHeight="1" x14ac:dyDescent="0.2">
      <c r="A129" s="26"/>
      <c r="B129" s="20">
        <v>153</v>
      </c>
      <c r="C129" s="5" t="s">
        <v>642</v>
      </c>
      <c r="D129" s="400" t="str">
        <f>IF(AND(ISNUMBER(D123),ISNUMBER(D128),D128&lt;&gt;0),D123/D128,"")</f>
        <v/>
      </c>
      <c r="E129" s="201"/>
      <c r="F129" s="201"/>
      <c r="G129" s="201"/>
      <c r="H129" s="201"/>
      <c r="I129" s="201"/>
      <c r="J129" s="400" t="str">
        <f>IF(AND(ISNUMBER(J123),ISNUMBER(J128),J128&lt;&gt;0),J123/J128,"")</f>
        <v/>
      </c>
      <c r="K129" s="201"/>
      <c r="L129" s="201"/>
      <c r="M129" s="201"/>
      <c r="N129" s="201"/>
      <c r="O129" s="24"/>
    </row>
    <row r="130" spans="1:16" s="22" customFormat="1" ht="15" customHeight="1" x14ac:dyDescent="0.2">
      <c r="A130" s="401"/>
      <c r="B130" s="206"/>
      <c r="C130" s="203"/>
      <c r="D130" s="203"/>
      <c r="E130" s="203"/>
      <c r="F130" s="203"/>
      <c r="G130" s="203"/>
      <c r="H130" s="203"/>
      <c r="I130" s="203"/>
      <c r="J130" s="203"/>
      <c r="K130" s="203"/>
      <c r="L130" s="203"/>
      <c r="M130" s="203"/>
      <c r="N130" s="203"/>
      <c r="O130" s="199"/>
    </row>
    <row r="131" spans="1:16" s="122" customFormat="1" ht="30" customHeight="1" x14ac:dyDescent="0.25">
      <c r="A131" s="52" t="s">
        <v>797</v>
      </c>
      <c r="B131" s="85"/>
      <c r="C131" s="196"/>
      <c r="D131" s="196"/>
      <c r="E131" s="196"/>
      <c r="F131" s="196"/>
      <c r="G131" s="196"/>
      <c r="H131" s="196"/>
      <c r="I131" s="196"/>
      <c r="J131" s="196"/>
      <c r="K131" s="196"/>
      <c r="L131" s="196"/>
      <c r="M131" s="196"/>
      <c r="N131" s="196"/>
      <c r="O131" s="121"/>
    </row>
    <row r="132" spans="1:16" s="22" customFormat="1" ht="15" customHeight="1" x14ac:dyDescent="0.2">
      <c r="A132" s="434"/>
      <c r="B132" s="141"/>
      <c r="C132" s="141"/>
      <c r="D132" s="141"/>
      <c r="E132" s="141"/>
      <c r="F132" s="141"/>
      <c r="G132" s="141"/>
      <c r="H132" s="141"/>
      <c r="I132" s="141"/>
      <c r="J132" s="141"/>
      <c r="K132" s="141"/>
      <c r="L132" s="141"/>
      <c r="M132" s="141"/>
      <c r="N132" s="141"/>
      <c r="O132" s="455"/>
    </row>
    <row r="133" spans="1:16" s="22" customFormat="1" ht="15" customHeight="1" x14ac:dyDescent="0.2">
      <c r="A133" s="26"/>
      <c r="B133" s="25" t="s">
        <v>316</v>
      </c>
      <c r="C133" s="25"/>
      <c r="D133" s="25"/>
      <c r="E133" s="25"/>
      <c r="F133" s="25"/>
      <c r="G133" s="25"/>
      <c r="H133" s="25"/>
      <c r="I133" s="25"/>
      <c r="J133" s="831" t="s">
        <v>93</v>
      </c>
      <c r="K133" s="835"/>
      <c r="L133" s="835"/>
      <c r="M133" s="835"/>
      <c r="N133" s="832"/>
      <c r="O133" s="24"/>
    </row>
    <row r="134" spans="1:16" s="22" customFormat="1" ht="15" customHeight="1" x14ac:dyDescent="0.2">
      <c r="A134" s="26"/>
      <c r="B134" s="25"/>
      <c r="C134" s="25"/>
      <c r="D134" s="25"/>
      <c r="E134" s="25"/>
      <c r="F134" s="25"/>
      <c r="G134" s="25"/>
      <c r="H134" s="25"/>
      <c r="I134" s="25"/>
      <c r="J134" s="197" t="s">
        <v>487</v>
      </c>
      <c r="K134" s="25"/>
      <c r="L134" s="25"/>
      <c r="M134" s="25"/>
      <c r="N134" s="25"/>
      <c r="O134" s="24"/>
    </row>
    <row r="135" spans="1:16" s="22" customFormat="1" ht="15" customHeight="1" x14ac:dyDescent="0.2">
      <c r="A135" s="26"/>
      <c r="B135" s="25"/>
      <c r="C135" s="442" t="s">
        <v>317</v>
      </c>
      <c r="D135" s="317"/>
      <c r="E135" s="317"/>
      <c r="F135" s="317"/>
      <c r="G135" s="317"/>
      <c r="H135" s="317"/>
      <c r="I135" s="428"/>
      <c r="J135" s="444" t="str">
        <f>IF(AND(ISNUMBER(J136),ISNUMBER(J139)),J136+J139,"")</f>
        <v/>
      </c>
      <c r="K135" s="25"/>
      <c r="L135" s="25"/>
      <c r="M135" s="25"/>
      <c r="N135" s="25"/>
      <c r="O135" s="24"/>
    </row>
    <row r="136" spans="1:16" ht="15" customHeight="1" x14ac:dyDescent="0.2">
      <c r="A136" s="57"/>
      <c r="B136" s="50"/>
      <c r="C136" s="429" t="s">
        <v>327</v>
      </c>
      <c r="D136" s="49"/>
      <c r="E136" s="49"/>
      <c r="F136" s="49"/>
      <c r="G136" s="49"/>
      <c r="H136" s="49"/>
      <c r="I136" s="59"/>
      <c r="J136" s="444" t="str">
        <f>IF(AND(ISNUMBER(J137),ISNUMBER(J138)),SUM(J137:J138),"")</f>
        <v/>
      </c>
      <c r="K136" s="50"/>
      <c r="L136" s="50"/>
      <c r="M136" s="50"/>
      <c r="N136" s="50"/>
      <c r="O136" s="54"/>
      <c r="P136" s="22"/>
    </row>
    <row r="137" spans="1:16" ht="15" customHeight="1" x14ac:dyDescent="0.2">
      <c r="A137" s="57"/>
      <c r="B137" s="50"/>
      <c r="C137" s="430" t="s">
        <v>743</v>
      </c>
      <c r="D137" s="49"/>
      <c r="E137" s="49"/>
      <c r="F137" s="49"/>
      <c r="G137" s="49"/>
      <c r="H137" s="49"/>
      <c r="I137" s="59"/>
      <c r="J137" s="415"/>
      <c r="K137" s="50"/>
      <c r="L137" s="50"/>
      <c r="M137" s="50"/>
      <c r="N137" s="50"/>
      <c r="O137" s="54"/>
      <c r="P137" s="22"/>
    </row>
    <row r="138" spans="1:16" ht="15" customHeight="1" x14ac:dyDescent="0.2">
      <c r="A138" s="57"/>
      <c r="B138" s="50"/>
      <c r="C138" s="430" t="s">
        <v>500</v>
      </c>
      <c r="D138" s="49"/>
      <c r="E138" s="49"/>
      <c r="F138" s="49"/>
      <c r="G138" s="49"/>
      <c r="H138" s="49"/>
      <c r="I138" s="59"/>
      <c r="J138" s="415"/>
      <c r="K138" s="50"/>
      <c r="L138" s="50"/>
      <c r="M138" s="50"/>
      <c r="N138" s="50"/>
      <c r="O138" s="54"/>
      <c r="P138" s="22"/>
    </row>
    <row r="139" spans="1:16" ht="15" customHeight="1" x14ac:dyDescent="0.2">
      <c r="A139" s="57"/>
      <c r="B139" s="50"/>
      <c r="C139" s="429" t="s">
        <v>328</v>
      </c>
      <c r="D139" s="49"/>
      <c r="E139" s="49"/>
      <c r="F139" s="49"/>
      <c r="G139" s="49"/>
      <c r="H139" s="49"/>
      <c r="I139" s="59"/>
      <c r="J139" s="4" t="str">
        <f>IF(AND(ISNUMBER(J140),ISNUMBER(J141),ISNUMBER(J142)),SUM(J140:J142),"")</f>
        <v/>
      </c>
      <c r="K139" s="50"/>
      <c r="L139" s="50"/>
      <c r="M139" s="50"/>
      <c r="N139" s="50"/>
      <c r="O139" s="54"/>
      <c r="P139" s="22"/>
    </row>
    <row r="140" spans="1:16" ht="15" customHeight="1" x14ac:dyDescent="0.2">
      <c r="A140" s="57"/>
      <c r="B140" s="50"/>
      <c r="C140" s="430" t="s">
        <v>743</v>
      </c>
      <c r="D140" s="49"/>
      <c r="E140" s="49"/>
      <c r="F140" s="49"/>
      <c r="G140" s="49"/>
      <c r="H140" s="49"/>
      <c r="I140" s="59"/>
      <c r="J140" s="415"/>
      <c r="K140" s="50"/>
      <c r="L140" s="50"/>
      <c r="M140" s="50"/>
      <c r="N140" s="50"/>
      <c r="O140" s="54"/>
      <c r="P140" s="22"/>
    </row>
    <row r="141" spans="1:16" ht="15" customHeight="1" x14ac:dyDescent="0.2">
      <c r="A141" s="57"/>
      <c r="B141" s="50"/>
      <c r="C141" s="430" t="s">
        <v>501</v>
      </c>
      <c r="D141" s="49"/>
      <c r="E141" s="49"/>
      <c r="F141" s="49"/>
      <c r="G141" s="49"/>
      <c r="H141" s="49"/>
      <c r="I141" s="59"/>
      <c r="J141" s="415"/>
      <c r="K141" s="50"/>
      <c r="L141" s="50"/>
      <c r="M141" s="50"/>
      <c r="N141" s="50"/>
      <c r="O141" s="54"/>
      <c r="P141" s="22"/>
    </row>
    <row r="142" spans="1:16" ht="15" customHeight="1" x14ac:dyDescent="0.2">
      <c r="A142" s="57"/>
      <c r="B142" s="50"/>
      <c r="C142" s="430" t="s">
        <v>502</v>
      </c>
      <c r="D142" s="49"/>
      <c r="E142" s="49"/>
      <c r="F142" s="49"/>
      <c r="G142" s="49"/>
      <c r="H142" s="49"/>
      <c r="I142" s="59"/>
      <c r="J142" s="4" t="str">
        <f>IF(AND(ISNUMBER(J143),ISNUMBER(J150),ISNUMBER(J151),ISNUMBER(J156),ISNUMBER(J162)),SUM(J143,J150,J151,J156,J162),"")</f>
        <v/>
      </c>
      <c r="K142" s="50"/>
      <c r="L142" s="50"/>
      <c r="M142" s="50"/>
      <c r="N142" s="50"/>
      <c r="O142" s="54"/>
      <c r="P142" s="22"/>
    </row>
    <row r="143" spans="1:16" ht="15" customHeight="1" x14ac:dyDescent="0.2">
      <c r="A143" s="57"/>
      <c r="B143" s="50"/>
      <c r="C143" s="431" t="s">
        <v>504</v>
      </c>
      <c r="D143" s="49"/>
      <c r="E143" s="49"/>
      <c r="F143" s="49"/>
      <c r="G143" s="49"/>
      <c r="H143" s="49"/>
      <c r="I143" s="59"/>
      <c r="J143" s="4" t="str">
        <f>IF(AND(ISNUMBER(J144),ISNUMBER(J148),ISNUMBER(J149)),SUM(J144,J148:J149),"")</f>
        <v/>
      </c>
      <c r="K143" s="50"/>
      <c r="L143" s="50"/>
      <c r="M143" s="50"/>
      <c r="N143" s="50"/>
      <c r="O143" s="54"/>
      <c r="P143" s="22"/>
    </row>
    <row r="144" spans="1:16" ht="15" customHeight="1" x14ac:dyDescent="0.2">
      <c r="A144" s="57"/>
      <c r="B144" s="50"/>
      <c r="C144" s="432" t="s">
        <v>98</v>
      </c>
      <c r="D144" s="49"/>
      <c r="E144" s="49"/>
      <c r="F144" s="49"/>
      <c r="G144" s="49"/>
      <c r="H144" s="49"/>
      <c r="I144" s="59"/>
      <c r="J144" s="415"/>
      <c r="K144" s="50"/>
      <c r="L144" s="50"/>
      <c r="M144" s="50"/>
      <c r="N144" s="50"/>
      <c r="O144" s="54"/>
      <c r="P144" s="22"/>
    </row>
    <row r="145" spans="1:16" ht="15" customHeight="1" x14ac:dyDescent="0.2">
      <c r="A145" s="57"/>
      <c r="B145" s="50"/>
      <c r="C145" s="446" t="s">
        <v>473</v>
      </c>
      <c r="D145" s="49"/>
      <c r="E145" s="49"/>
      <c r="F145" s="49"/>
      <c r="G145" s="49"/>
      <c r="H145" s="49"/>
      <c r="I145" s="59"/>
      <c r="J145" s="415"/>
      <c r="K145" s="50"/>
      <c r="L145" s="50"/>
      <c r="M145" s="50"/>
      <c r="N145" s="50"/>
      <c r="O145" s="54"/>
      <c r="P145" s="22"/>
    </row>
    <row r="146" spans="1:16" ht="15" customHeight="1" x14ac:dyDescent="0.2">
      <c r="A146" s="57"/>
      <c r="B146" s="50"/>
      <c r="C146" s="840" t="s">
        <v>472</v>
      </c>
      <c r="D146" s="841"/>
      <c r="E146" s="841"/>
      <c r="F146" s="841"/>
      <c r="G146" s="841"/>
      <c r="H146" s="841"/>
      <c r="I146" s="842"/>
      <c r="J146" s="415"/>
      <c r="K146" s="50"/>
      <c r="L146" s="50"/>
      <c r="M146" s="50"/>
      <c r="N146" s="50"/>
      <c r="O146" s="54"/>
      <c r="P146" s="22"/>
    </row>
    <row r="147" spans="1:16" ht="15" customHeight="1" x14ac:dyDescent="0.2">
      <c r="A147" s="57"/>
      <c r="B147" s="50"/>
      <c r="C147" s="1" t="str">
        <f>CONCATENATE("Check: PSEs in rows ", ROW(C145), " and ", ROW(C146), " should be less than or equal to overall PSEs in row ", ROW(C144))</f>
        <v>Check: PSEs in rows 145 and 146 should be less than or equal to overall PSEs in row 144</v>
      </c>
      <c r="D147" s="49"/>
      <c r="E147" s="49"/>
      <c r="F147" s="49"/>
      <c r="G147" s="49"/>
      <c r="H147" s="49"/>
      <c r="I147" s="59"/>
      <c r="J147" s="78" t="str">
        <f>IF(J145+J146&lt;=J144,"Yes","No")</f>
        <v>Yes</v>
      </c>
      <c r="K147" s="50"/>
      <c r="L147" s="50"/>
      <c r="M147" s="50"/>
      <c r="N147" s="50"/>
      <c r="O147" s="54"/>
      <c r="P147" s="22"/>
    </row>
    <row r="148" spans="1:16" ht="15" customHeight="1" x14ac:dyDescent="0.2">
      <c r="A148" s="57"/>
      <c r="B148" s="50"/>
      <c r="C148" s="445" t="s">
        <v>505</v>
      </c>
      <c r="D148" s="49"/>
      <c r="E148" s="49"/>
      <c r="F148" s="49"/>
      <c r="G148" s="49"/>
      <c r="H148" s="49"/>
      <c r="I148" s="59"/>
      <c r="J148" s="415"/>
      <c r="K148" s="50"/>
      <c r="L148" s="50"/>
      <c r="M148" s="50"/>
      <c r="N148" s="50"/>
      <c r="O148" s="54"/>
      <c r="P148" s="22"/>
    </row>
    <row r="149" spans="1:16" ht="15" customHeight="1" x14ac:dyDescent="0.2">
      <c r="A149" s="57"/>
      <c r="B149" s="50"/>
      <c r="C149" s="445" t="s">
        <v>744</v>
      </c>
      <c r="D149" s="49"/>
      <c r="E149" s="49"/>
      <c r="F149" s="49"/>
      <c r="G149" s="49"/>
      <c r="H149" s="49"/>
      <c r="I149" s="59"/>
      <c r="J149" s="415"/>
      <c r="K149" s="50"/>
      <c r="L149" s="50"/>
      <c r="M149" s="50"/>
      <c r="N149" s="50"/>
      <c r="O149" s="54"/>
      <c r="P149" s="22"/>
    </row>
    <row r="150" spans="1:16" ht="15" customHeight="1" x14ac:dyDescent="0.2">
      <c r="A150" s="57"/>
      <c r="B150" s="50"/>
      <c r="C150" s="431" t="s">
        <v>509</v>
      </c>
      <c r="D150" s="49"/>
      <c r="E150" s="49"/>
      <c r="F150" s="49"/>
      <c r="G150" s="49"/>
      <c r="H150" s="49"/>
      <c r="I150" s="59"/>
      <c r="J150" s="415"/>
      <c r="K150" s="50"/>
      <c r="L150" s="50"/>
      <c r="M150" s="50"/>
      <c r="N150" s="50"/>
      <c r="O150" s="54"/>
      <c r="P150" s="22"/>
    </row>
    <row r="151" spans="1:16" ht="15" customHeight="1" x14ac:dyDescent="0.2">
      <c r="A151" s="57"/>
      <c r="B151" s="50"/>
      <c r="C151" s="431" t="s">
        <v>506</v>
      </c>
      <c r="D151" s="49"/>
      <c r="E151" s="49"/>
      <c r="F151" s="49"/>
      <c r="G151" s="49"/>
      <c r="H151" s="49"/>
      <c r="I151" s="59"/>
      <c r="J151" s="4" t="str">
        <f>IF(AND(ISNUMBER(J152),ISNUMBER(J153),ISNUMBER(J154),ISNUMBER(J155)),SUM(J152:J155),"")</f>
        <v/>
      </c>
      <c r="K151" s="50"/>
      <c r="L151" s="50"/>
      <c r="M151" s="50"/>
      <c r="N151" s="50"/>
      <c r="O151" s="54"/>
      <c r="P151" s="22"/>
    </row>
    <row r="152" spans="1:16" ht="15" customHeight="1" x14ac:dyDescent="0.2">
      <c r="A152" s="57"/>
      <c r="B152" s="50"/>
      <c r="C152" s="432" t="s">
        <v>324</v>
      </c>
      <c r="D152" s="49"/>
      <c r="E152" s="49"/>
      <c r="F152" s="49"/>
      <c r="G152" s="49"/>
      <c r="H152" s="49"/>
      <c r="I152" s="59"/>
      <c r="J152" s="415"/>
      <c r="K152" s="50"/>
      <c r="L152" s="50"/>
      <c r="M152" s="50"/>
      <c r="N152" s="50"/>
      <c r="O152" s="54"/>
      <c r="P152" s="22"/>
    </row>
    <row r="153" spans="1:16" ht="15" customHeight="1" x14ac:dyDescent="0.2">
      <c r="A153" s="57"/>
      <c r="B153" s="50"/>
      <c r="C153" s="432" t="s">
        <v>323</v>
      </c>
      <c r="D153" s="49"/>
      <c r="E153" s="49"/>
      <c r="F153" s="49"/>
      <c r="G153" s="49"/>
      <c r="H153" s="49"/>
      <c r="I153" s="59"/>
      <c r="J153" s="415"/>
      <c r="K153" s="50"/>
      <c r="L153" s="50"/>
      <c r="M153" s="50"/>
      <c r="N153" s="50"/>
      <c r="O153" s="54"/>
      <c r="P153" s="22"/>
    </row>
    <row r="154" spans="1:16" ht="15" customHeight="1" x14ac:dyDescent="0.2">
      <c r="A154" s="57"/>
      <c r="B154" s="50"/>
      <c r="C154" s="432" t="s">
        <v>508</v>
      </c>
      <c r="D154" s="49"/>
      <c r="E154" s="49"/>
      <c r="F154" s="49"/>
      <c r="G154" s="49"/>
      <c r="H154" s="49"/>
      <c r="I154" s="59"/>
      <c r="J154" s="415"/>
      <c r="K154" s="50"/>
      <c r="L154" s="50"/>
      <c r="M154" s="50"/>
      <c r="N154" s="50"/>
      <c r="O154" s="54"/>
      <c r="P154" s="22"/>
    </row>
    <row r="155" spans="1:16" ht="15" customHeight="1" x14ac:dyDescent="0.2">
      <c r="A155" s="57"/>
      <c r="B155" s="50"/>
      <c r="C155" s="432" t="s">
        <v>318</v>
      </c>
      <c r="D155" s="49"/>
      <c r="E155" s="49"/>
      <c r="F155" s="49"/>
      <c r="G155" s="49"/>
      <c r="H155" s="49"/>
      <c r="I155" s="59"/>
      <c r="J155" s="415"/>
      <c r="K155" s="50"/>
      <c r="L155" s="50"/>
      <c r="M155" s="50"/>
      <c r="N155" s="50"/>
      <c r="O155" s="54"/>
      <c r="P155" s="22"/>
    </row>
    <row r="156" spans="1:16" ht="15" customHeight="1" x14ac:dyDescent="0.2">
      <c r="A156" s="57"/>
      <c r="B156" s="50"/>
      <c r="C156" s="431" t="s">
        <v>503</v>
      </c>
      <c r="D156" s="49"/>
      <c r="E156" s="49"/>
      <c r="F156" s="49"/>
      <c r="G156" s="49"/>
      <c r="H156" s="49"/>
      <c r="I156" s="59"/>
      <c r="J156" s="444" t="str">
        <f>IF(AND(ISNUMBER(J157),ISNUMBER(J158)),SUM(J157:J158),"")</f>
        <v/>
      </c>
      <c r="K156" s="50"/>
      <c r="L156" s="50"/>
      <c r="M156" s="50"/>
      <c r="N156" s="50"/>
      <c r="O156" s="54"/>
      <c r="P156" s="22"/>
    </row>
    <row r="157" spans="1:16" ht="15" customHeight="1" x14ac:dyDescent="0.2">
      <c r="A157" s="57"/>
      <c r="B157" s="50"/>
      <c r="C157" s="432" t="s">
        <v>507</v>
      </c>
      <c r="D157" s="49"/>
      <c r="E157" s="49"/>
      <c r="F157" s="49"/>
      <c r="G157" s="49"/>
      <c r="H157" s="49"/>
      <c r="I157" s="59"/>
      <c r="J157" s="415"/>
      <c r="K157" s="50"/>
      <c r="L157" s="50"/>
      <c r="M157" s="50"/>
      <c r="N157" s="50"/>
      <c r="O157" s="54"/>
      <c r="P157" s="22"/>
    </row>
    <row r="158" spans="1:16" ht="15" customHeight="1" x14ac:dyDescent="0.2">
      <c r="A158" s="57"/>
      <c r="B158" s="50"/>
      <c r="C158" s="432" t="s">
        <v>99</v>
      </c>
      <c r="D158" s="49"/>
      <c r="E158" s="49"/>
      <c r="F158" s="49"/>
      <c r="G158" s="49"/>
      <c r="H158" s="49"/>
      <c r="I158" s="59"/>
      <c r="J158" s="444" t="str">
        <f>IF(AND(ISNUMBER(J159),ISNUMBER(J160),ISNUMBER(J161)),SUM(J159:J161),"")</f>
        <v/>
      </c>
      <c r="K158" s="50"/>
      <c r="L158" s="50"/>
      <c r="M158" s="50"/>
      <c r="N158" s="50"/>
      <c r="O158" s="54"/>
      <c r="P158" s="22"/>
    </row>
    <row r="159" spans="1:16" ht="15" customHeight="1" x14ac:dyDescent="0.2">
      <c r="A159" s="57"/>
      <c r="B159" s="50"/>
      <c r="C159" s="446" t="s">
        <v>323</v>
      </c>
      <c r="D159" s="49"/>
      <c r="E159" s="49"/>
      <c r="F159" s="49"/>
      <c r="G159" s="49"/>
      <c r="H159" s="49"/>
      <c r="I159" s="59"/>
      <c r="J159" s="415"/>
      <c r="K159" s="50"/>
      <c r="L159" s="50"/>
      <c r="M159" s="50"/>
      <c r="N159" s="50"/>
      <c r="O159" s="54"/>
      <c r="P159" s="22"/>
    </row>
    <row r="160" spans="1:16" ht="15" customHeight="1" x14ac:dyDescent="0.2">
      <c r="A160" s="57"/>
      <c r="B160" s="50"/>
      <c r="C160" s="446" t="s">
        <v>325</v>
      </c>
      <c r="D160" s="49"/>
      <c r="E160" s="49"/>
      <c r="F160" s="49"/>
      <c r="G160" s="49"/>
      <c r="H160" s="49"/>
      <c r="I160" s="59"/>
      <c r="J160" s="415"/>
      <c r="K160" s="50"/>
      <c r="L160" s="50"/>
      <c r="M160" s="50"/>
      <c r="N160" s="50"/>
      <c r="O160" s="54"/>
      <c r="P160" s="22"/>
    </row>
    <row r="161" spans="1:16" ht="15" customHeight="1" x14ac:dyDescent="0.2">
      <c r="A161" s="57"/>
      <c r="B161" s="50"/>
      <c r="C161" s="446" t="s">
        <v>326</v>
      </c>
      <c r="D161" s="49"/>
      <c r="E161" s="49"/>
      <c r="F161" s="49"/>
      <c r="G161" s="49"/>
      <c r="H161" s="49"/>
      <c r="I161" s="59"/>
      <c r="J161" s="415"/>
      <c r="K161" s="50"/>
      <c r="L161" s="50"/>
      <c r="M161" s="50"/>
      <c r="N161" s="50"/>
      <c r="O161" s="54"/>
      <c r="P161" s="22"/>
    </row>
    <row r="162" spans="1:16" ht="15" customHeight="1" x14ac:dyDescent="0.2">
      <c r="A162" s="57"/>
      <c r="B162" s="50"/>
      <c r="C162" s="443" t="s">
        <v>101</v>
      </c>
      <c r="D162" s="49"/>
      <c r="E162" s="49"/>
      <c r="F162" s="49"/>
      <c r="G162" s="49"/>
      <c r="H162" s="49"/>
      <c r="I162" s="59"/>
      <c r="J162" s="415"/>
      <c r="K162" s="50"/>
      <c r="L162" s="50"/>
      <c r="M162" s="50"/>
      <c r="N162" s="50"/>
      <c r="O162" s="54"/>
      <c r="P162" s="22"/>
    </row>
    <row r="163" spans="1:16" ht="15" customHeight="1" x14ac:dyDescent="0.2">
      <c r="A163" s="57"/>
      <c r="B163" s="50"/>
      <c r="C163" s="445" t="s">
        <v>102</v>
      </c>
      <c r="D163" s="49"/>
      <c r="E163" s="49"/>
      <c r="F163" s="49"/>
      <c r="G163" s="49"/>
      <c r="H163" s="49"/>
      <c r="I163" s="59"/>
      <c r="J163" s="415"/>
      <c r="K163" s="50"/>
      <c r="L163" s="50"/>
      <c r="M163" s="50"/>
      <c r="N163" s="50"/>
      <c r="O163" s="54"/>
      <c r="P163" s="22"/>
    </row>
    <row r="164" spans="1:16" ht="15" customHeight="1" x14ac:dyDescent="0.2">
      <c r="A164" s="57"/>
      <c r="B164" s="50"/>
      <c r="C164" s="449" t="s">
        <v>103</v>
      </c>
      <c r="D164" s="49"/>
      <c r="E164" s="49"/>
      <c r="F164" s="49"/>
      <c r="G164" s="49"/>
      <c r="H164" s="49"/>
      <c r="I164" s="59"/>
      <c r="J164" s="718" t="str">
        <f>IF(J163&lt;=J162,"Yes","No")</f>
        <v>Yes</v>
      </c>
      <c r="K164" s="50"/>
      <c r="L164" s="50"/>
      <c r="M164" s="50"/>
      <c r="N164" s="50"/>
      <c r="O164" s="54"/>
      <c r="P164" s="22"/>
    </row>
    <row r="165" spans="1:16" ht="15" customHeight="1" x14ac:dyDescent="0.2">
      <c r="A165" s="57"/>
      <c r="B165" s="50"/>
      <c r="C165" s="427" t="str">
        <f>CONCATENATE("Check: Total value in cell ", ADDRESS(ROW(J135), COLUMN(J135), 4), " should equal total exposures in panels A and B.")</f>
        <v>Check: Total value in cell J135 should equal total exposures in panels A and B.</v>
      </c>
      <c r="D165" s="49"/>
      <c r="E165" s="49"/>
      <c r="F165" s="49"/>
      <c r="G165" s="49"/>
      <c r="H165" s="49"/>
      <c r="I165" s="59"/>
      <c r="J165" s="718" t="str">
        <f>IF(AND(ISNUMBER(J135),SUM(L9,K13,L13,K16, K20,-K21,K36,((M44+M45)*0.1),(M43-(M44+M45)),M46,M47,M48)&lt;&gt;J135),"No","Yes")</f>
        <v>Yes</v>
      </c>
      <c r="K165" s="50"/>
      <c r="L165" s="50"/>
      <c r="M165" s="50"/>
      <c r="N165" s="50"/>
      <c r="O165" s="54"/>
      <c r="P165" s="711"/>
    </row>
    <row r="166" spans="1:16" ht="15" customHeight="1" x14ac:dyDescent="0.2">
      <c r="A166" s="57"/>
      <c r="B166" s="50"/>
      <c r="C166" s="50"/>
      <c r="D166" s="50"/>
      <c r="E166" s="50"/>
      <c r="F166" s="50"/>
      <c r="G166" s="50"/>
      <c r="H166" s="50"/>
      <c r="I166" s="50"/>
      <c r="J166" s="50"/>
      <c r="K166" s="50"/>
      <c r="L166" s="50"/>
      <c r="M166" s="50"/>
      <c r="N166" s="50"/>
      <c r="O166" s="54"/>
    </row>
    <row r="167" spans="1:16" ht="15" customHeight="1" x14ac:dyDescent="0.2">
      <c r="A167" s="57"/>
      <c r="B167" s="50"/>
      <c r="C167" s="433" t="s">
        <v>329</v>
      </c>
      <c r="D167" s="49"/>
      <c r="E167" s="49"/>
      <c r="F167" s="49"/>
      <c r="G167" s="49"/>
      <c r="H167" s="49"/>
      <c r="I167" s="59"/>
      <c r="J167" s="415"/>
      <c r="K167" s="50"/>
      <c r="L167" s="50"/>
      <c r="M167" s="50"/>
      <c r="N167" s="50"/>
      <c r="O167" s="54"/>
    </row>
    <row r="168" spans="1:16" ht="15" customHeight="1" x14ac:dyDescent="0.2">
      <c r="A168" s="86"/>
      <c r="B168" s="55"/>
      <c r="C168" s="55"/>
      <c r="D168" s="55"/>
      <c r="E168" s="55"/>
      <c r="F168" s="55"/>
      <c r="G168" s="55"/>
      <c r="H168" s="55"/>
      <c r="I168" s="55"/>
      <c r="J168" s="55"/>
      <c r="K168" s="55"/>
      <c r="L168" s="55"/>
      <c r="M168" s="55"/>
      <c r="N168" s="55"/>
      <c r="O168" s="56"/>
    </row>
  </sheetData>
  <dataConsolidate/>
  <mergeCells count="46">
    <mergeCell ref="C146:I146"/>
    <mergeCell ref="J84:N84"/>
    <mergeCell ref="D121:H121"/>
    <mergeCell ref="J6:N6"/>
    <mergeCell ref="J32:N32"/>
    <mergeCell ref="J55:N55"/>
    <mergeCell ref="J71:N71"/>
    <mergeCell ref="J121:N121"/>
    <mergeCell ref="J133:N133"/>
    <mergeCell ref="D84:H84"/>
    <mergeCell ref="D55:H55"/>
    <mergeCell ref="D71:H71"/>
    <mergeCell ref="D6:H6"/>
    <mergeCell ref="C51:E51"/>
    <mergeCell ref="D32:H32"/>
    <mergeCell ref="F7:G7"/>
    <mergeCell ref="D7:D8"/>
    <mergeCell ref="E7:E8"/>
    <mergeCell ref="D100:H100"/>
    <mergeCell ref="J100:N100"/>
    <mergeCell ref="B7:B8"/>
    <mergeCell ref="C7:C8"/>
    <mergeCell ref="J7:J8"/>
    <mergeCell ref="B33:B34"/>
    <mergeCell ref="C33:C34"/>
    <mergeCell ref="D33:D34"/>
    <mergeCell ref="G33:G34"/>
    <mergeCell ref="C24:D24"/>
    <mergeCell ref="C25:D25"/>
    <mergeCell ref="C26:D26"/>
    <mergeCell ref="K7:K8"/>
    <mergeCell ref="L7:M7"/>
    <mergeCell ref="N7:N8"/>
    <mergeCell ref="E33:F33"/>
    <mergeCell ref="K33:L33"/>
    <mergeCell ref="M33:M34"/>
    <mergeCell ref="N33:N34"/>
    <mergeCell ref="H33:H34"/>
    <mergeCell ref="J33:J34"/>
    <mergeCell ref="H7:H8"/>
    <mergeCell ref="C27:D27"/>
    <mergeCell ref="C28:D28"/>
    <mergeCell ref="C19:D19"/>
    <mergeCell ref="C20:D20"/>
    <mergeCell ref="C21:D21"/>
    <mergeCell ref="C22:D22"/>
  </mergeCells>
  <phoneticPr fontId="8" type="noConversion"/>
  <conditionalFormatting sqref="H40:H41 H37 D93:D94 M51 D74 D95:G95 J147 D80 J74 F51:G51 F24 H10:H12 H14:H16 J80 L24 J164">
    <cfRule type="cellIs" dxfId="216" priority="106" stopIfTrue="1" operator="equal">
      <formula>"No"</formula>
    </cfRule>
    <cfRule type="cellIs" dxfId="215" priority="107" stopIfTrue="1" operator="equal">
      <formula>"Yes"</formula>
    </cfRule>
  </conditionalFormatting>
  <conditionalFormatting sqref="J167 D75:D78 D73 J159:J163 J75:J78 J73 D58:E66 J58:K66 J137:J138 J157 J148:J150 H17 H42:H49 H13 J23:N23 H38:H39 E92:G94 K123 G9:H9 D9:G17 D23:H23 E19:E22 D35:H35 D86:G89 D123:E123 J9:K17 D38:G49 E36:F36 H36 D37:F37 J140:J141 J144:J146 J152:J155 D127:D128 D125">
    <cfRule type="cellIs" dxfId="214" priority="108" stopIfTrue="1" operator="lessThan">
      <formula>0</formula>
    </cfRule>
  </conditionalFormatting>
  <conditionalFormatting sqref="J18:N18 D18:H18">
    <cfRule type="cellIs" dxfId="213" priority="105" stopIfTrue="1" operator="lessThan">
      <formula>0</formula>
    </cfRule>
  </conditionalFormatting>
  <conditionalFormatting sqref="N10:N12 N14:N16">
    <cfRule type="cellIs" dxfId="212" priority="102" stopIfTrue="1" operator="equal">
      <formula>"No"</formula>
    </cfRule>
    <cfRule type="cellIs" dxfId="211" priority="103" stopIfTrue="1" operator="equal">
      <formula>"Yes"</formula>
    </cfRule>
  </conditionalFormatting>
  <conditionalFormatting sqref="N17 N13 M9:N9 M10:M17 L9:L17">
    <cfRule type="cellIs" dxfId="210" priority="104" stopIfTrue="1" operator="lessThan">
      <formula>0</formula>
    </cfRule>
  </conditionalFormatting>
  <conditionalFormatting sqref="F19:G19">
    <cfRule type="cellIs" dxfId="209" priority="101" stopIfTrue="1" operator="lessThan">
      <formula>0</formula>
    </cfRule>
  </conditionalFormatting>
  <conditionalFormatting sqref="F20:G22">
    <cfRule type="cellIs" dxfId="208" priority="100" stopIfTrue="1" operator="lessThan">
      <formula>0</formula>
    </cfRule>
  </conditionalFormatting>
  <conditionalFormatting sqref="F25:G28">
    <cfRule type="cellIs" dxfId="207" priority="91" stopIfTrue="1" operator="lessThan">
      <formula>0</formula>
    </cfRule>
  </conditionalFormatting>
  <conditionalFormatting sqref="K19:K22">
    <cfRule type="cellIs" dxfId="206" priority="97" stopIfTrue="1" operator="lessThan">
      <formula>0</formula>
    </cfRule>
  </conditionalFormatting>
  <conditionalFormatting sqref="L19:M19">
    <cfRule type="cellIs" dxfId="205" priority="96" stopIfTrue="1" operator="lessThan">
      <formula>0</formula>
    </cfRule>
  </conditionalFormatting>
  <conditionalFormatting sqref="L20:M22">
    <cfRule type="cellIs" dxfId="204" priority="95" stopIfTrue="1" operator="lessThan">
      <formula>0</formula>
    </cfRule>
  </conditionalFormatting>
  <conditionalFormatting sqref="L25:M28">
    <cfRule type="cellIs" dxfId="203" priority="85" stopIfTrue="1" operator="lessThan">
      <formula>0</formula>
    </cfRule>
  </conditionalFormatting>
  <conditionalFormatting sqref="E24">
    <cfRule type="cellIs" dxfId="202" priority="92" stopIfTrue="1" operator="lessThan">
      <formula>0</formula>
    </cfRule>
  </conditionalFormatting>
  <conditionalFormatting sqref="E25:E28">
    <cfRule type="cellIs" dxfId="201" priority="89" stopIfTrue="1" operator="equal">
      <formula>"No"</formula>
    </cfRule>
    <cfRule type="cellIs" dxfId="200" priority="90" stopIfTrue="1" operator="equal">
      <formula>"Yes"</formula>
    </cfRule>
  </conditionalFormatting>
  <conditionalFormatting sqref="K24">
    <cfRule type="cellIs" dxfId="199" priority="88" stopIfTrue="1" operator="lessThan">
      <formula>0</formula>
    </cfRule>
  </conditionalFormatting>
  <conditionalFormatting sqref="K25:K28">
    <cfRule type="cellIs" dxfId="198" priority="86" stopIfTrue="1" operator="equal">
      <formula>"No"</formula>
    </cfRule>
    <cfRule type="cellIs" dxfId="197" priority="87" stopIfTrue="1" operator="equal">
      <formula>"Yes"</formula>
    </cfRule>
  </conditionalFormatting>
  <conditionalFormatting sqref="N40:N41 N37">
    <cfRule type="cellIs" dxfId="196" priority="82" stopIfTrue="1" operator="equal">
      <formula>"No"</formula>
    </cfRule>
    <cfRule type="cellIs" dxfId="195" priority="83" stopIfTrue="1" operator="equal">
      <formula>"Yes"</formula>
    </cfRule>
  </conditionalFormatting>
  <conditionalFormatting sqref="N42:N49 N38:N39 J35:N35 J38:M49 K36:L36 N36 J37:L37">
    <cfRule type="cellIs" dxfId="194" priority="84" stopIfTrue="1" operator="lessThan">
      <formula>0</formula>
    </cfRule>
  </conditionalFormatting>
  <conditionalFormatting sqref="H88">
    <cfRule type="cellIs" dxfId="193" priority="81" stopIfTrue="1" operator="lessThan">
      <formula>0</formula>
    </cfRule>
  </conditionalFormatting>
  <conditionalFormatting sqref="H86:H87">
    <cfRule type="cellIs" dxfId="192" priority="80" stopIfTrue="1" operator="lessThan">
      <formula>0</formula>
    </cfRule>
  </conditionalFormatting>
  <conditionalFormatting sqref="H89">
    <cfRule type="cellIs" dxfId="191" priority="79" stopIfTrue="1" operator="lessThan">
      <formula>0</formula>
    </cfRule>
  </conditionalFormatting>
  <conditionalFormatting sqref="D117:F117">
    <cfRule type="cellIs" dxfId="190" priority="61" stopIfTrue="1" operator="lessThan">
      <formula>0</formula>
    </cfRule>
  </conditionalFormatting>
  <conditionalFormatting sqref="D103:F105">
    <cfRule type="cellIs" dxfId="189" priority="60" stopIfTrue="1" operator="lessThan">
      <formula>0</formula>
    </cfRule>
  </conditionalFormatting>
  <conditionalFormatting sqref="D107:F108">
    <cfRule type="cellIs" dxfId="188" priority="59" stopIfTrue="1" operator="lessThan">
      <formula>0</formula>
    </cfRule>
  </conditionalFormatting>
  <conditionalFormatting sqref="D110:F111">
    <cfRule type="cellIs" dxfId="187" priority="58" stopIfTrue="1" operator="lessThan">
      <formula>0</formula>
    </cfRule>
  </conditionalFormatting>
  <conditionalFormatting sqref="H92:H94">
    <cfRule type="cellIs" dxfId="186" priority="72" stopIfTrue="1" operator="lessThan">
      <formula>0</formula>
    </cfRule>
  </conditionalFormatting>
  <conditionalFormatting sqref="H95">
    <cfRule type="cellIs" dxfId="185" priority="70" stopIfTrue="1" operator="equal">
      <formula>"No"</formula>
    </cfRule>
    <cfRule type="cellIs" dxfId="184" priority="71" stopIfTrue="1" operator="equal">
      <formula>"Yes"</formula>
    </cfRule>
  </conditionalFormatting>
  <conditionalFormatting sqref="N95">
    <cfRule type="cellIs" dxfId="183" priority="62" stopIfTrue="1" operator="equal">
      <formula>"No"</formula>
    </cfRule>
    <cfRule type="cellIs" dxfId="182" priority="63" stopIfTrue="1" operator="equal">
      <formula>"Yes"</formula>
    </cfRule>
  </conditionalFormatting>
  <conditionalFormatting sqref="J93:J94 J95:M95">
    <cfRule type="cellIs" dxfId="181" priority="65" stopIfTrue="1" operator="equal">
      <formula>"No"</formula>
    </cfRule>
    <cfRule type="cellIs" dxfId="180" priority="66" stopIfTrue="1" operator="equal">
      <formula>"Yes"</formula>
    </cfRule>
  </conditionalFormatting>
  <conditionalFormatting sqref="K92:M94">
    <cfRule type="cellIs" dxfId="179" priority="67" stopIfTrue="1" operator="lessThan">
      <formula>0</formula>
    </cfRule>
  </conditionalFormatting>
  <conditionalFormatting sqref="N92:N94">
    <cfRule type="cellIs" dxfId="178" priority="64" stopIfTrue="1" operator="lessThan">
      <formula>0</formula>
    </cfRule>
  </conditionalFormatting>
  <conditionalFormatting sqref="D114:F116">
    <cfRule type="cellIs" dxfId="177" priority="57" stopIfTrue="1" operator="lessThan">
      <formula>0</formula>
    </cfRule>
  </conditionalFormatting>
  <conditionalFormatting sqref="J86:M89">
    <cfRule type="cellIs" dxfId="176" priority="56" stopIfTrue="1" operator="lessThan">
      <formula>0</formula>
    </cfRule>
  </conditionalFormatting>
  <conditionalFormatting sqref="N88">
    <cfRule type="cellIs" dxfId="175" priority="55" stopIfTrue="1" operator="lessThan">
      <formula>0</formula>
    </cfRule>
  </conditionalFormatting>
  <conditionalFormatting sqref="N86:N87">
    <cfRule type="cellIs" dxfId="174" priority="54" stopIfTrue="1" operator="lessThan">
      <formula>0</formula>
    </cfRule>
  </conditionalFormatting>
  <conditionalFormatting sqref="N89">
    <cfRule type="cellIs" dxfId="173" priority="53" stopIfTrue="1" operator="lessThan">
      <formula>0</formula>
    </cfRule>
  </conditionalFormatting>
  <conditionalFormatting sqref="D102:F102">
    <cfRule type="cellIs" dxfId="172" priority="52" stopIfTrue="1" operator="lessThan">
      <formula>0</formula>
    </cfRule>
  </conditionalFormatting>
  <conditionalFormatting sqref="D106:F106">
    <cfRule type="cellIs" dxfId="171" priority="51" stopIfTrue="1" operator="lessThan">
      <formula>0</formula>
    </cfRule>
  </conditionalFormatting>
  <conditionalFormatting sqref="D109:F109">
    <cfRule type="cellIs" dxfId="170" priority="50" stopIfTrue="1" operator="lessThan">
      <formula>0</formula>
    </cfRule>
  </conditionalFormatting>
  <conditionalFormatting sqref="J117:L117">
    <cfRule type="cellIs" dxfId="169" priority="49" stopIfTrue="1" operator="lessThan">
      <formula>0</formula>
    </cfRule>
  </conditionalFormatting>
  <conditionalFormatting sqref="J103:L105">
    <cfRule type="cellIs" dxfId="168" priority="48" stopIfTrue="1" operator="lessThan">
      <formula>0</formula>
    </cfRule>
  </conditionalFormatting>
  <conditionalFormatting sqref="J107:L108">
    <cfRule type="cellIs" dxfId="167" priority="47" stopIfTrue="1" operator="lessThan">
      <formula>0</formula>
    </cfRule>
  </conditionalFormatting>
  <conditionalFormatting sqref="J110:L111">
    <cfRule type="cellIs" dxfId="166" priority="46" stopIfTrue="1" operator="lessThan">
      <formula>0</formula>
    </cfRule>
  </conditionalFormatting>
  <conditionalFormatting sqref="J114:L116">
    <cfRule type="cellIs" dxfId="165" priority="45" stopIfTrue="1" operator="lessThan">
      <formula>0</formula>
    </cfRule>
  </conditionalFormatting>
  <conditionalFormatting sqref="J102:L102">
    <cfRule type="cellIs" dxfId="164" priority="44" stopIfTrue="1" operator="lessThan">
      <formula>0</formula>
    </cfRule>
  </conditionalFormatting>
  <conditionalFormatting sqref="J109:L109">
    <cfRule type="cellIs" dxfId="163" priority="42" stopIfTrue="1" operator="lessThan">
      <formula>0</formula>
    </cfRule>
  </conditionalFormatting>
  <conditionalFormatting sqref="J123 J125">
    <cfRule type="cellIs" dxfId="162" priority="40" stopIfTrue="1" operator="lessThan">
      <formula>0</formula>
    </cfRule>
  </conditionalFormatting>
  <conditionalFormatting sqref="G24">
    <cfRule type="cellIs" dxfId="161" priority="38" stopIfTrue="1" operator="equal">
      <formula>"No"</formula>
    </cfRule>
    <cfRule type="cellIs" dxfId="160" priority="39" stopIfTrue="1" operator="equal">
      <formula>"Yes"</formula>
    </cfRule>
  </conditionalFormatting>
  <conditionalFormatting sqref="M24">
    <cfRule type="cellIs" dxfId="159" priority="35" stopIfTrue="1" operator="equal">
      <formula>"No"</formula>
    </cfRule>
    <cfRule type="cellIs" dxfId="158" priority="36" stopIfTrue="1" operator="equal">
      <formula>"Yes"</formula>
    </cfRule>
  </conditionalFormatting>
  <conditionalFormatting sqref="D92">
    <cfRule type="cellIs" dxfId="157" priority="32" stopIfTrue="1" operator="equal">
      <formula>"No"</formula>
    </cfRule>
    <cfRule type="cellIs" dxfId="156" priority="33" stopIfTrue="1" operator="equal">
      <formula>"Yes"</formula>
    </cfRule>
  </conditionalFormatting>
  <conditionalFormatting sqref="D36">
    <cfRule type="cellIs" dxfId="155" priority="31" stopIfTrue="1" operator="lessThan">
      <formula>0</formula>
    </cfRule>
  </conditionalFormatting>
  <conditionalFormatting sqref="G36">
    <cfRule type="cellIs" dxfId="154" priority="30" stopIfTrue="1" operator="lessThan">
      <formula>0</formula>
    </cfRule>
  </conditionalFormatting>
  <conditionalFormatting sqref="J36">
    <cfRule type="cellIs" dxfId="153" priority="29" stopIfTrue="1" operator="lessThan">
      <formula>0</formula>
    </cfRule>
  </conditionalFormatting>
  <conditionalFormatting sqref="M36">
    <cfRule type="cellIs" dxfId="152" priority="28" stopIfTrue="1" operator="lessThan">
      <formula>0</formula>
    </cfRule>
  </conditionalFormatting>
  <conditionalFormatting sqref="G37">
    <cfRule type="cellIs" dxfId="151" priority="27" stopIfTrue="1" operator="lessThan">
      <formula>0</formula>
    </cfRule>
  </conditionalFormatting>
  <conditionalFormatting sqref="M37">
    <cfRule type="cellIs" dxfId="150" priority="26" stopIfTrue="1" operator="lessThan">
      <formula>0</formula>
    </cfRule>
  </conditionalFormatting>
  <conditionalFormatting sqref="D57:E57">
    <cfRule type="cellIs" dxfId="149" priority="25" stopIfTrue="1" operator="lessThan">
      <formula>0</formula>
    </cfRule>
  </conditionalFormatting>
  <conditionalFormatting sqref="J57:K57">
    <cfRule type="cellIs" dxfId="148" priority="24" stopIfTrue="1" operator="lessThan">
      <formula>0</formula>
    </cfRule>
  </conditionalFormatting>
  <conditionalFormatting sqref="D79">
    <cfRule type="cellIs" dxfId="147" priority="23" stopIfTrue="1" operator="lessThan">
      <formula>0</formula>
    </cfRule>
  </conditionalFormatting>
  <conditionalFormatting sqref="J79">
    <cfRule type="cellIs" dxfId="146" priority="22" stopIfTrue="1" operator="lessThan">
      <formula>0</formula>
    </cfRule>
  </conditionalFormatting>
  <conditionalFormatting sqref="J92">
    <cfRule type="cellIs" dxfId="145" priority="20" stopIfTrue="1" operator="equal">
      <formula>"No"</formula>
    </cfRule>
    <cfRule type="cellIs" dxfId="144" priority="21" stopIfTrue="1" operator="equal">
      <formula>"Yes"</formula>
    </cfRule>
  </conditionalFormatting>
  <conditionalFormatting sqref="J139">
    <cfRule type="cellIs" dxfId="143" priority="19" stopIfTrue="1" operator="lessThan">
      <formula>0</formula>
    </cfRule>
  </conditionalFormatting>
  <conditionalFormatting sqref="J142:J143">
    <cfRule type="cellIs" dxfId="142" priority="18" stopIfTrue="1" operator="lessThan">
      <formula>0</formula>
    </cfRule>
  </conditionalFormatting>
  <conditionalFormatting sqref="J151">
    <cfRule type="cellIs" dxfId="141" priority="17" stopIfTrue="1" operator="lessThan">
      <formula>0</formula>
    </cfRule>
  </conditionalFormatting>
  <conditionalFormatting sqref="J106">
    <cfRule type="cellIs" dxfId="140" priority="16" stopIfTrue="1" operator="lessThan">
      <formula>0</formula>
    </cfRule>
  </conditionalFormatting>
  <conditionalFormatting sqref="K106">
    <cfRule type="cellIs" dxfId="139" priority="15" stopIfTrue="1" operator="lessThan">
      <formula>0</formula>
    </cfRule>
  </conditionalFormatting>
  <conditionalFormatting sqref="L106">
    <cfRule type="cellIs" dxfId="138" priority="14" stopIfTrue="1" operator="lessThan">
      <formula>0</formula>
    </cfRule>
  </conditionalFormatting>
  <conditionalFormatting sqref="D126">
    <cfRule type="cellIs" dxfId="137" priority="13" stopIfTrue="1" operator="lessThan">
      <formula>0</formula>
    </cfRule>
  </conditionalFormatting>
  <conditionalFormatting sqref="J128">
    <cfRule type="cellIs" dxfId="136" priority="9" stopIfTrue="1" operator="lessThan">
      <formula>0</formula>
    </cfRule>
  </conditionalFormatting>
  <conditionalFormatting sqref="J127">
    <cfRule type="cellIs" dxfId="135" priority="11" stopIfTrue="1" operator="lessThan">
      <formula>0</formula>
    </cfRule>
  </conditionalFormatting>
  <conditionalFormatting sqref="J126">
    <cfRule type="cellIs" dxfId="134" priority="10" stopIfTrue="1" operator="lessThan">
      <formula>0</formula>
    </cfRule>
  </conditionalFormatting>
  <conditionalFormatting sqref="J165">
    <cfRule type="cellIs" dxfId="133" priority="3" stopIfTrue="1" operator="equal">
      <formula>"No"</formula>
    </cfRule>
    <cfRule type="cellIs" dxfId="132" priority="4" stopIfTrue="1" operator="equal">
      <formula>"Yes"</formula>
    </cfRule>
  </conditionalFormatting>
  <conditionalFormatting sqref="J124">
    <cfRule type="cellIs" dxfId="131" priority="2" stopIfTrue="1" operator="lessThan">
      <formula>0</formula>
    </cfRule>
  </conditionalFormatting>
  <conditionalFormatting sqref="D124">
    <cfRule type="cellIs" dxfId="130" priority="1" stopIfTrue="1" operator="lessThan">
      <formula>0</formula>
    </cfRule>
  </conditionalFormatting>
  <printOptions headings="1"/>
  <pageMargins left="0.44" right="0.32"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4" manualBreakCount="4">
    <brk id="29" max="14" man="1"/>
    <brk id="68" max="14" man="1"/>
    <brk id="97" max="14" man="1"/>
    <brk id="13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U443"/>
  <sheetViews>
    <sheetView zoomScale="75" zoomScaleNormal="75" zoomScaleSheetLayoutView="75" workbookViewId="0"/>
  </sheetViews>
  <sheetFormatPr defaultRowHeight="12.75" x14ac:dyDescent="0.2"/>
  <cols>
    <col min="1" max="1" width="1.7109375" style="28" customWidth="1"/>
    <col min="2" max="2" width="100.7109375" style="28" customWidth="1"/>
    <col min="3" max="3" width="20.7109375" style="28" customWidth="1"/>
    <col min="4" max="10" width="16.7109375" style="28" customWidth="1"/>
    <col min="11" max="11" width="1.7109375" style="28" customWidth="1"/>
    <col min="12" max="16384" width="9.140625" style="28"/>
  </cols>
  <sheetData>
    <row r="1" spans="1:21" s="267" customFormat="1" ht="30" customHeight="1" x14ac:dyDescent="0.4">
      <c r="A1" s="441" t="s">
        <v>677</v>
      </c>
      <c r="B1" s="266"/>
      <c r="C1" s="266"/>
      <c r="D1" s="266"/>
      <c r="E1" s="266"/>
      <c r="F1" s="266"/>
      <c r="G1" s="266"/>
      <c r="H1" s="266"/>
      <c r="I1" s="273"/>
      <c r="J1" s="273"/>
      <c r="K1" s="30"/>
    </row>
    <row r="2" spans="1:21" s="270" customFormat="1" ht="30" customHeight="1" x14ac:dyDescent="0.25">
      <c r="A2" s="43" t="s">
        <v>985</v>
      </c>
      <c r="B2" s="268"/>
      <c r="C2" s="268"/>
      <c r="D2" s="268"/>
      <c r="E2" s="268"/>
      <c r="F2" s="268"/>
      <c r="G2" s="268"/>
      <c r="H2" s="268"/>
      <c r="I2" s="390"/>
      <c r="J2" s="390"/>
      <c r="K2" s="269"/>
    </row>
    <row r="3" spans="1:21" s="267" customFormat="1" ht="30" customHeight="1" x14ac:dyDescent="0.25">
      <c r="A3" s="81" t="s">
        <v>60</v>
      </c>
      <c r="B3" s="81"/>
      <c r="C3" s="271"/>
      <c r="D3" s="271"/>
      <c r="E3" s="272"/>
      <c r="F3" s="273"/>
      <c r="G3" s="273"/>
      <c r="H3" s="273"/>
      <c r="I3" s="273"/>
      <c r="J3" s="273"/>
      <c r="K3" s="30"/>
      <c r="L3" s="273"/>
      <c r="M3" s="273"/>
      <c r="N3" s="273"/>
      <c r="O3" s="273"/>
      <c r="P3" s="273"/>
      <c r="Q3" s="273"/>
      <c r="R3" s="273"/>
      <c r="S3" s="273"/>
      <c r="T3" s="273"/>
      <c r="U3" s="273"/>
    </row>
    <row r="4" spans="1:21" ht="15" customHeight="1" x14ac:dyDescent="0.2">
      <c r="A4" s="274"/>
      <c r="B4" s="275"/>
      <c r="C4" s="276"/>
      <c r="D4" s="277"/>
      <c r="E4" s="278"/>
      <c r="F4" s="278"/>
      <c r="G4" s="278"/>
      <c r="H4" s="278"/>
      <c r="I4" s="273"/>
      <c r="J4" s="273"/>
      <c r="K4" s="30"/>
    </row>
    <row r="5" spans="1:21" ht="30" customHeight="1" x14ac:dyDescent="0.2">
      <c r="A5" s="279"/>
      <c r="B5" s="280"/>
      <c r="C5" s="281" t="s">
        <v>986</v>
      </c>
      <c r="D5" s="281" t="s">
        <v>336</v>
      </c>
      <c r="E5" s="318"/>
      <c r="F5" s="319"/>
      <c r="G5" s="281" t="s">
        <v>678</v>
      </c>
      <c r="H5" s="281" t="s">
        <v>679</v>
      </c>
      <c r="I5" s="273"/>
      <c r="J5" s="273"/>
      <c r="K5" s="30"/>
    </row>
    <row r="6" spans="1:21" ht="15" customHeight="1" x14ac:dyDescent="0.2">
      <c r="A6" s="282"/>
      <c r="B6" s="229" t="s">
        <v>816</v>
      </c>
      <c r="C6" s="231" t="s">
        <v>847</v>
      </c>
      <c r="D6" s="310"/>
      <c r="E6" s="318"/>
      <c r="F6" s="319"/>
      <c r="G6" s="283">
        <v>1</v>
      </c>
      <c r="H6" s="284" t="str">
        <f>IF(AND(ISNUMBER(D6),ISNUMBER(G6)),D6*G6,"")</f>
        <v/>
      </c>
      <c r="I6" s="273"/>
      <c r="J6" s="273"/>
      <c r="K6" s="30"/>
    </row>
    <row r="7" spans="1:21" ht="15" customHeight="1" x14ac:dyDescent="0.2">
      <c r="A7" s="282"/>
      <c r="B7" s="229" t="s">
        <v>817</v>
      </c>
      <c r="C7" s="39"/>
      <c r="D7" s="310"/>
      <c r="E7" s="318"/>
      <c r="F7" s="319"/>
      <c r="G7" s="39"/>
      <c r="H7" s="39"/>
      <c r="I7" s="273"/>
      <c r="J7" s="273"/>
      <c r="K7" s="30"/>
    </row>
    <row r="8" spans="1:21" ht="15" customHeight="1" x14ac:dyDescent="0.2">
      <c r="A8" s="282"/>
      <c r="B8" s="251" t="s">
        <v>680</v>
      </c>
      <c r="C8" s="231" t="s">
        <v>987</v>
      </c>
      <c r="D8" s="310"/>
      <c r="E8" s="318"/>
      <c r="F8" s="319"/>
      <c r="G8" s="283">
        <v>1</v>
      </c>
      <c r="H8" s="284" t="str">
        <f>IF(AND(ISNUMBER(D8),ISNUMBER(G8)),D8*G8,"")</f>
        <v/>
      </c>
      <c r="I8" s="273"/>
      <c r="J8" s="273"/>
      <c r="K8" s="30"/>
    </row>
    <row r="9" spans="1:21" ht="15" customHeight="1" x14ac:dyDescent="0.2">
      <c r="A9" s="282"/>
      <c r="B9" s="437" t="str">
        <f>CONCATENATE("Check: row ", ROW(B8)," ≤ row ",ROW(B7))</f>
        <v>Check: row 8 ≤ row 7</v>
      </c>
      <c r="C9" s="39"/>
      <c r="D9" s="495" t="str">
        <f>IF(D8&lt;=D7,"Pass","Fail")</f>
        <v>Pass</v>
      </c>
      <c r="E9" s="318"/>
      <c r="F9" s="319"/>
      <c r="G9" s="319"/>
      <c r="H9" s="319"/>
      <c r="I9" s="273"/>
      <c r="J9" s="273"/>
      <c r="K9" s="30"/>
    </row>
    <row r="10" spans="1:21" ht="15" customHeight="1" x14ac:dyDescent="0.2">
      <c r="A10" s="282"/>
      <c r="B10" s="229" t="s">
        <v>517</v>
      </c>
      <c r="C10" s="231" t="s">
        <v>848</v>
      </c>
      <c r="D10" s="287"/>
      <c r="E10" s="318"/>
      <c r="F10" s="319"/>
      <c r="G10" s="39"/>
      <c r="H10" s="39"/>
      <c r="I10" s="273"/>
      <c r="J10" s="273"/>
      <c r="K10" s="30"/>
    </row>
    <row r="11" spans="1:21" ht="15" customHeight="1" x14ac:dyDescent="0.2">
      <c r="A11" s="282"/>
      <c r="B11" s="251" t="s">
        <v>626</v>
      </c>
      <c r="C11" s="231" t="s">
        <v>848</v>
      </c>
      <c r="D11" s="310"/>
      <c r="E11" s="318"/>
      <c r="F11" s="319"/>
      <c r="G11" s="283">
        <f>Parameters!E13</f>
        <v>1</v>
      </c>
      <c r="H11" s="284" t="str">
        <f>IF(AND(ISNUMBER(D11),ISNUMBER(G11)),D11*G11,"")</f>
        <v/>
      </c>
      <c r="I11" s="273"/>
      <c r="J11" s="273"/>
      <c r="K11" s="30"/>
    </row>
    <row r="12" spans="1:21" ht="15" customHeight="1" x14ac:dyDescent="0.2">
      <c r="A12" s="282"/>
      <c r="B12" s="251" t="s">
        <v>627</v>
      </c>
      <c r="C12" s="231" t="s">
        <v>848</v>
      </c>
      <c r="D12" s="310"/>
      <c r="E12" s="318"/>
      <c r="F12" s="319"/>
      <c r="G12" s="283">
        <f>Parameters!E14</f>
        <v>1</v>
      </c>
      <c r="H12" s="284" t="str">
        <f>IF(AND(ISNUMBER(D12),ISNUMBER(G12)),D12*G12,"")</f>
        <v/>
      </c>
      <c r="I12" s="273"/>
      <c r="J12" s="273"/>
      <c r="K12" s="30"/>
    </row>
    <row r="13" spans="1:21" ht="15" customHeight="1" x14ac:dyDescent="0.2">
      <c r="A13" s="282"/>
      <c r="B13" s="251" t="s">
        <v>628</v>
      </c>
      <c r="C13" s="231" t="s">
        <v>848</v>
      </c>
      <c r="D13" s="310"/>
      <c r="E13" s="318"/>
      <c r="F13" s="319"/>
      <c r="G13" s="283">
        <f>Parameters!E15</f>
        <v>1</v>
      </c>
      <c r="H13" s="284" t="str">
        <f>IF(AND(ISNUMBER(D13),ISNUMBER(G13)),D13*G13,"")</f>
        <v/>
      </c>
      <c r="I13" s="273"/>
      <c r="J13" s="273"/>
      <c r="K13" s="30"/>
    </row>
    <row r="14" spans="1:21" ht="15" customHeight="1" x14ac:dyDescent="0.2">
      <c r="A14" s="282"/>
      <c r="B14" s="251" t="s">
        <v>988</v>
      </c>
      <c r="C14" s="231" t="s">
        <v>848</v>
      </c>
      <c r="D14" s="310"/>
      <c r="E14" s="318"/>
      <c r="F14" s="319"/>
      <c r="G14" s="283">
        <f>Parameters!E16</f>
        <v>1</v>
      </c>
      <c r="H14" s="284" t="str">
        <f>IF(AND(ISNUMBER(D14),ISNUMBER(G14)),D14*G14,"")</f>
        <v/>
      </c>
      <c r="I14" s="273"/>
      <c r="J14" s="273"/>
      <c r="K14" s="30"/>
    </row>
    <row r="15" spans="1:21" ht="15" customHeight="1" x14ac:dyDescent="0.2">
      <c r="A15" s="282"/>
      <c r="B15" s="251" t="s">
        <v>818</v>
      </c>
      <c r="C15" s="231" t="s">
        <v>848</v>
      </c>
      <c r="D15" s="310"/>
      <c r="E15" s="318"/>
      <c r="F15" s="319"/>
      <c r="G15" s="283">
        <f>Parameters!E17</f>
        <v>1</v>
      </c>
      <c r="H15" s="284" t="str">
        <f>IF(AND(ISNUMBER(D15),ISNUMBER(G15)),D15*G15,"")</f>
        <v/>
      </c>
      <c r="I15" s="273"/>
      <c r="J15" s="273"/>
      <c r="K15" s="30"/>
    </row>
    <row r="16" spans="1:21" ht="15" customHeight="1" x14ac:dyDescent="0.2">
      <c r="A16" s="282"/>
      <c r="B16" s="233" t="s">
        <v>681</v>
      </c>
      <c r="C16" s="39"/>
      <c r="D16" s="39"/>
      <c r="E16" s="318"/>
      <c r="F16" s="319"/>
      <c r="G16" s="39"/>
      <c r="H16" s="39"/>
      <c r="I16" s="273"/>
      <c r="J16" s="273"/>
      <c r="K16" s="30"/>
    </row>
    <row r="17" spans="1:21" ht="30" customHeight="1" x14ac:dyDescent="0.2">
      <c r="A17" s="282"/>
      <c r="B17" s="251" t="s">
        <v>682</v>
      </c>
      <c r="C17" s="231" t="s">
        <v>849</v>
      </c>
      <c r="D17" s="310"/>
      <c r="E17" s="318"/>
      <c r="F17" s="319"/>
      <c r="G17" s="283">
        <f>Parameters!E19</f>
        <v>1</v>
      </c>
      <c r="H17" s="284" t="str">
        <f>IF(AND(ISNUMBER(D17),ISNUMBER(G17)),D17*G17,"")</f>
        <v/>
      </c>
      <c r="I17" s="273"/>
      <c r="J17" s="273"/>
      <c r="K17" s="30"/>
    </row>
    <row r="18" spans="1:21" ht="45" customHeight="1" x14ac:dyDescent="0.2">
      <c r="A18" s="282"/>
      <c r="B18" s="251" t="s">
        <v>819</v>
      </c>
      <c r="C18" s="231" t="s">
        <v>850</v>
      </c>
      <c r="D18" s="310"/>
      <c r="E18" s="318"/>
      <c r="F18" s="319"/>
      <c r="G18" s="283">
        <f>Parameters!E20</f>
        <v>1</v>
      </c>
      <c r="H18" s="284" t="str">
        <f>IF(AND(ISNUMBER(D18),ISNUMBER(G18)),D18*G18,"")</f>
        <v/>
      </c>
      <c r="I18" s="273"/>
      <c r="J18" s="273"/>
      <c r="K18" s="30"/>
    </row>
    <row r="19" spans="1:21" ht="15" customHeight="1" x14ac:dyDescent="0.2">
      <c r="A19" s="282"/>
      <c r="B19" s="232" t="s">
        <v>683</v>
      </c>
      <c r="C19" s="609">
        <v>49</v>
      </c>
      <c r="D19" s="39"/>
      <c r="E19" s="318"/>
      <c r="F19" s="319"/>
      <c r="G19" s="39"/>
      <c r="H19" s="285" t="str">
        <f>IF(AND(ISNUMBER(H6),ISNUMBER(H8),ISNUMBER(H11),ISNUMBER(H12),ISNUMBER(H13),ISNUMBER(H14),ISNUMBER(H15),ISNUMBER(H17),ISNUMBER(H18)),SUM(H6,H8,H11:H15,H17:H18),"")</f>
        <v/>
      </c>
      <c r="I19" s="273"/>
      <c r="J19" s="273"/>
      <c r="K19" s="30"/>
    </row>
    <row r="20" spans="1:21" ht="15" customHeight="1" x14ac:dyDescent="0.2">
      <c r="A20" s="282"/>
      <c r="B20" s="229" t="s">
        <v>685</v>
      </c>
      <c r="C20" s="231" t="s">
        <v>833</v>
      </c>
      <c r="D20" s="284" t="str">
        <f>IF(AND(ISNUMBER(D179),ISNUMBER(D182),ISNUMBER(D192),ISNUMBER(D195),ISNUMBER(E179),ISNUMBER(E192),ISNUMBER(D276),ISNUMBER(D279),ISNUMBER(E276),ISNUMBER(D433),ISNUMBER(E433)),-SUM(D179,D182,D185,D188,D192,D195,D198,D202,D205,E276,E433)+SUM(E179,E192,D276,D279,D282,D285,D433),"")</f>
        <v/>
      </c>
      <c r="E20" s="318"/>
      <c r="F20" s="319"/>
      <c r="G20" s="39"/>
      <c r="H20" s="39"/>
      <c r="I20" s="273"/>
      <c r="J20" s="273"/>
      <c r="K20" s="30"/>
    </row>
    <row r="21" spans="1:21" ht="15" customHeight="1" x14ac:dyDescent="0.2">
      <c r="A21" s="286"/>
      <c r="B21" s="229" t="s">
        <v>686</v>
      </c>
      <c r="C21" s="231" t="s">
        <v>833</v>
      </c>
      <c r="D21" s="39"/>
      <c r="E21" s="318"/>
      <c r="F21" s="319"/>
      <c r="G21" s="39"/>
      <c r="H21" s="284" t="str">
        <f>IF(AND(ISNUMBER(H19),ISNUMBER(D20)),MAX(H19+D20,0),"")</f>
        <v/>
      </c>
      <c r="I21" s="273"/>
      <c r="J21" s="273"/>
      <c r="K21" s="30"/>
    </row>
    <row r="22" spans="1:21" s="267" customFormat="1" ht="45" customHeight="1" x14ac:dyDescent="0.25">
      <c r="A22" s="81" t="s">
        <v>820</v>
      </c>
      <c r="B22" s="81"/>
      <c r="C22" s="271"/>
      <c r="D22" s="271"/>
      <c r="E22" s="272"/>
      <c r="F22" s="273"/>
      <c r="G22" s="273"/>
      <c r="H22" s="273"/>
      <c r="I22" s="273"/>
      <c r="J22" s="273"/>
      <c r="K22" s="30"/>
      <c r="L22" s="273"/>
      <c r="M22" s="273"/>
      <c r="N22" s="273"/>
      <c r="O22" s="273"/>
      <c r="P22" s="273"/>
      <c r="Q22" s="273"/>
      <c r="R22" s="273"/>
      <c r="S22" s="273"/>
      <c r="T22" s="273"/>
      <c r="U22" s="273"/>
    </row>
    <row r="23" spans="1:21" ht="30" customHeight="1" x14ac:dyDescent="0.2">
      <c r="A23" s="279"/>
      <c r="B23" s="280"/>
      <c r="C23" s="281" t="s">
        <v>986</v>
      </c>
      <c r="D23" s="281" t="s">
        <v>687</v>
      </c>
      <c r="E23" s="318"/>
      <c r="F23" s="319"/>
      <c r="G23" s="281" t="s">
        <v>678</v>
      </c>
      <c r="H23" s="281" t="s">
        <v>679</v>
      </c>
      <c r="I23" s="273"/>
      <c r="J23" s="273"/>
      <c r="K23" s="30"/>
    </row>
    <row r="24" spans="1:21" ht="15" customHeight="1" x14ac:dyDescent="0.2">
      <c r="A24" s="282"/>
      <c r="B24" s="229" t="s">
        <v>688</v>
      </c>
      <c r="C24" s="231" t="s">
        <v>851</v>
      </c>
      <c r="D24" s="287"/>
      <c r="E24" s="318"/>
      <c r="F24" s="319"/>
      <c r="G24" s="287"/>
      <c r="H24" s="288"/>
      <c r="I24" s="273"/>
      <c r="J24" s="273"/>
      <c r="K24" s="30"/>
    </row>
    <row r="25" spans="1:21" ht="15" customHeight="1" x14ac:dyDescent="0.2">
      <c r="A25" s="282"/>
      <c r="B25" s="251" t="s">
        <v>626</v>
      </c>
      <c r="C25" s="231" t="s">
        <v>851</v>
      </c>
      <c r="D25" s="648"/>
      <c r="E25" s="318"/>
      <c r="F25" s="319"/>
      <c r="G25" s="283">
        <f>Parameters!E23</f>
        <v>0.85</v>
      </c>
      <c r="H25" s="284" t="str">
        <f t="shared" ref="H25:H31" si="0">IF(AND(ISNUMBER(D25),ISNUMBER(G25)),D25*G25,"")</f>
        <v/>
      </c>
      <c r="I25" s="273"/>
      <c r="J25" s="273"/>
      <c r="K25" s="30"/>
    </row>
    <row r="26" spans="1:21" ht="15" customHeight="1" x14ac:dyDescent="0.2">
      <c r="A26" s="282"/>
      <c r="B26" s="251" t="s">
        <v>627</v>
      </c>
      <c r="C26" s="231" t="s">
        <v>851</v>
      </c>
      <c r="D26" s="648"/>
      <c r="E26" s="318"/>
      <c r="F26" s="319"/>
      <c r="G26" s="283">
        <f>Parameters!E24</f>
        <v>0.85</v>
      </c>
      <c r="H26" s="284" t="str">
        <f t="shared" si="0"/>
        <v/>
      </c>
      <c r="I26" s="273"/>
      <c r="J26" s="273"/>
      <c r="K26" s="30"/>
    </row>
    <row r="27" spans="1:21" ht="15" customHeight="1" x14ac:dyDescent="0.2">
      <c r="A27" s="282"/>
      <c r="B27" s="251" t="s">
        <v>628</v>
      </c>
      <c r="C27" s="231" t="s">
        <v>851</v>
      </c>
      <c r="D27" s="648"/>
      <c r="E27" s="318"/>
      <c r="F27" s="319"/>
      <c r="G27" s="283">
        <f>Parameters!E25</f>
        <v>0.85</v>
      </c>
      <c r="H27" s="284" t="str">
        <f t="shared" si="0"/>
        <v/>
      </c>
      <c r="I27" s="273"/>
      <c r="J27" s="273"/>
      <c r="K27" s="30"/>
    </row>
    <row r="28" spans="1:21" ht="15" customHeight="1" x14ac:dyDescent="0.2">
      <c r="A28" s="282"/>
      <c r="B28" s="251" t="s">
        <v>988</v>
      </c>
      <c r="C28" s="231" t="s">
        <v>851</v>
      </c>
      <c r="D28" s="648"/>
      <c r="E28" s="318"/>
      <c r="F28" s="319"/>
      <c r="G28" s="283">
        <f>Parameters!E26</f>
        <v>0.85</v>
      </c>
      <c r="H28" s="284" t="str">
        <f t="shared" si="0"/>
        <v/>
      </c>
      <c r="I28" s="273"/>
      <c r="J28" s="273"/>
      <c r="K28" s="30"/>
    </row>
    <row r="29" spans="1:21" ht="15" customHeight="1" x14ac:dyDescent="0.2">
      <c r="A29" s="289"/>
      <c r="B29" s="251" t="s">
        <v>689</v>
      </c>
      <c r="C29" s="231" t="s">
        <v>851</v>
      </c>
      <c r="D29" s="648"/>
      <c r="E29" s="318"/>
      <c r="F29" s="319"/>
      <c r="G29" s="283">
        <f>Parameters!E27</f>
        <v>0.85</v>
      </c>
      <c r="H29" s="284" t="str">
        <f t="shared" si="0"/>
        <v/>
      </c>
      <c r="I29" s="273"/>
      <c r="J29" s="273"/>
      <c r="K29" s="30"/>
    </row>
    <row r="30" spans="1:21" ht="15" customHeight="1" x14ac:dyDescent="0.2">
      <c r="A30" s="282"/>
      <c r="B30" s="229" t="s">
        <v>690</v>
      </c>
      <c r="C30" s="231" t="s">
        <v>852</v>
      </c>
      <c r="D30" s="648"/>
      <c r="E30" s="318"/>
      <c r="F30" s="319"/>
      <c r="G30" s="283">
        <f>Parameters!E28</f>
        <v>0.85</v>
      </c>
      <c r="H30" s="284" t="str">
        <f t="shared" si="0"/>
        <v/>
      </c>
      <c r="I30" s="273"/>
      <c r="J30" s="273"/>
      <c r="K30" s="30"/>
    </row>
    <row r="31" spans="1:21" ht="15" customHeight="1" x14ac:dyDescent="0.2">
      <c r="A31" s="282"/>
      <c r="B31" s="229" t="s">
        <v>691</v>
      </c>
      <c r="C31" s="231" t="s">
        <v>852</v>
      </c>
      <c r="D31" s="648"/>
      <c r="E31" s="318"/>
      <c r="F31" s="319"/>
      <c r="G31" s="283">
        <f>Parameters!E29</f>
        <v>0.85</v>
      </c>
      <c r="H31" s="284" t="str">
        <f t="shared" si="0"/>
        <v/>
      </c>
      <c r="I31" s="273"/>
      <c r="J31" s="273"/>
      <c r="K31" s="30"/>
    </row>
    <row r="32" spans="1:21" ht="15" customHeight="1" x14ac:dyDescent="0.2">
      <c r="A32" s="282"/>
      <c r="B32" s="232" t="s">
        <v>821</v>
      </c>
      <c r="C32" s="609" t="s">
        <v>853</v>
      </c>
      <c r="D32" s="665" t="str">
        <f>IF(AND(ISNUMBER(D25),ISNUMBER(D26),ISNUMBER(D27),ISNUMBER(D28),ISNUMBER(D29),ISNUMBER(D30),ISNUMBER(D31)),SUM(D25:D31),"")</f>
        <v/>
      </c>
      <c r="E32" s="318"/>
      <c r="F32" s="319"/>
      <c r="G32" s="645"/>
      <c r="H32" s="285" t="str">
        <f>IF(AND(ISNUMBER(H25),ISNUMBER(H26),ISNUMBER(H27),ISNUMBER(H28),ISNUMBER(H29), ISNUMBER(H30),ISNUMBER(H31)),SUM(H25:H31),"")</f>
        <v/>
      </c>
      <c r="I32" s="273"/>
      <c r="J32" s="273"/>
      <c r="K32" s="30"/>
    </row>
    <row r="33" spans="1:21" ht="15" customHeight="1" x14ac:dyDescent="0.2">
      <c r="A33" s="282"/>
      <c r="B33" s="229" t="s">
        <v>822</v>
      </c>
      <c r="C33" s="231" t="s">
        <v>833</v>
      </c>
      <c r="D33" s="666" t="str">
        <f>IF(AND(ISNUMBER(E182),ISNUMBER(E195),ISNUMBER(E279),ISNUMBER(D434),ISNUMBER(E434)),E182+E195-E279+D434-E434,"")</f>
        <v/>
      </c>
      <c r="E33" s="318"/>
      <c r="F33" s="319"/>
      <c r="G33" s="645"/>
      <c r="H33" s="645"/>
      <c r="I33" s="273"/>
      <c r="J33" s="273"/>
      <c r="K33" s="30"/>
    </row>
    <row r="34" spans="1:21" ht="15" customHeight="1" x14ac:dyDescent="0.2">
      <c r="A34" s="282"/>
      <c r="B34" s="229" t="s">
        <v>823</v>
      </c>
      <c r="C34" s="231" t="s">
        <v>833</v>
      </c>
      <c r="D34" s="666" t="str">
        <f>IF(AND(ISNUMBER(D32),ISNUMBER(D33)),D32+D33,"")</f>
        <v/>
      </c>
      <c r="E34" s="318"/>
      <c r="F34" s="319"/>
      <c r="G34" s="283">
        <f>Parameters!E30</f>
        <v>0.85</v>
      </c>
      <c r="H34" s="284" t="str">
        <f>IF(AND(ISNUMBER(D34),ISNUMBER(G34)),D34*G34,"")</f>
        <v/>
      </c>
      <c r="I34" s="273"/>
      <c r="J34" s="273"/>
      <c r="K34" s="30"/>
    </row>
    <row r="35" spans="1:21" ht="45" customHeight="1" x14ac:dyDescent="0.25">
      <c r="A35" s="81" t="s">
        <v>824</v>
      </c>
      <c r="B35" s="81"/>
      <c r="C35" s="271"/>
      <c r="D35" s="271"/>
      <c r="E35" s="272"/>
      <c r="F35" s="273"/>
      <c r="G35" s="273"/>
      <c r="H35" s="273"/>
      <c r="I35" s="273"/>
      <c r="J35" s="273"/>
      <c r="K35" s="30"/>
    </row>
    <row r="36" spans="1:21" ht="30" customHeight="1" x14ac:dyDescent="0.2">
      <c r="A36" s="279"/>
      <c r="B36" s="280"/>
      <c r="C36" s="281" t="s">
        <v>986</v>
      </c>
      <c r="D36" s="281" t="s">
        <v>687</v>
      </c>
      <c r="E36" s="318"/>
      <c r="F36" s="319"/>
      <c r="G36" s="281" t="s">
        <v>678</v>
      </c>
      <c r="H36" s="281" t="s">
        <v>679</v>
      </c>
      <c r="I36" s="273"/>
      <c r="J36" s="273"/>
      <c r="K36" s="30"/>
    </row>
    <row r="37" spans="1:21" ht="15" customHeight="1" x14ac:dyDescent="0.2">
      <c r="A37" s="282"/>
      <c r="B37" s="229" t="s">
        <v>825</v>
      </c>
      <c r="C37" s="231" t="s">
        <v>826</v>
      </c>
      <c r="D37" s="322"/>
      <c r="E37" s="318"/>
      <c r="F37" s="319"/>
      <c r="G37" s="283">
        <f>Parameters!E32</f>
        <v>0.75</v>
      </c>
      <c r="H37" s="666" t="str">
        <f>IF(AND(ISNUMBER(D37),ISNUMBER(G37)),D37*G37,"")</f>
        <v/>
      </c>
      <c r="I37" s="273"/>
      <c r="J37" s="273"/>
      <c r="K37" s="30"/>
    </row>
    <row r="38" spans="1:21" ht="15" customHeight="1" x14ac:dyDescent="0.2">
      <c r="A38" s="282"/>
      <c r="B38" s="229" t="s">
        <v>827</v>
      </c>
      <c r="C38" s="231" t="s">
        <v>828</v>
      </c>
      <c r="D38" s="322"/>
      <c r="E38" s="318"/>
      <c r="F38" s="319"/>
      <c r="G38" s="283">
        <f>Parameters!E33</f>
        <v>0.5</v>
      </c>
      <c r="H38" s="666" t="str">
        <f>IF(AND(ISNUMBER(D38),ISNUMBER(G38)),D38*G38,"")</f>
        <v/>
      </c>
      <c r="I38" s="273"/>
      <c r="J38" s="273"/>
      <c r="K38" s="30"/>
    </row>
    <row r="39" spans="1:21" ht="15" customHeight="1" x14ac:dyDescent="0.2">
      <c r="A39" s="282"/>
      <c r="B39" s="229" t="s">
        <v>829</v>
      </c>
      <c r="C39" s="610" t="s">
        <v>830</v>
      </c>
      <c r="D39" s="322"/>
      <c r="E39" s="318"/>
      <c r="F39" s="319"/>
      <c r="G39" s="283">
        <f>Parameters!E34</f>
        <v>0.5</v>
      </c>
      <c r="H39" s="666" t="str">
        <f>IF(AND(ISNUMBER(D39),ISNUMBER(G39)),D39*G39,"")</f>
        <v/>
      </c>
      <c r="I39" s="273"/>
      <c r="J39" s="273"/>
      <c r="K39" s="30"/>
    </row>
    <row r="40" spans="1:21" ht="15" customHeight="1" x14ac:dyDescent="0.2">
      <c r="A40" s="282"/>
      <c r="B40" s="232" t="s">
        <v>831</v>
      </c>
      <c r="C40" s="609" t="s">
        <v>826</v>
      </c>
      <c r="D40" s="2" t="str">
        <f>IF(ISNUMBER(D37),D37,"")</f>
        <v/>
      </c>
      <c r="E40" s="318"/>
      <c r="F40" s="319"/>
      <c r="G40" s="645"/>
      <c r="H40" s="669" t="str">
        <f>IF(ISNUMBER(H37),H37,"")</f>
        <v/>
      </c>
      <c r="I40" s="273"/>
      <c r="J40" s="273"/>
      <c r="K40" s="30"/>
    </row>
    <row r="41" spans="1:21" ht="15" customHeight="1" x14ac:dyDescent="0.2">
      <c r="A41" s="282"/>
      <c r="B41" s="229" t="s">
        <v>832</v>
      </c>
      <c r="C41" s="231" t="s">
        <v>833</v>
      </c>
      <c r="D41" s="284" t="str">
        <f>IF(OR(ISNUMBER(E185),ISNUMBER(E198),ISNUMBER(E282),ISNUMBER(D435),ISNUMBER(E435)),SUM(E185,E198,D435)-SUM(E282,E435),"")</f>
        <v/>
      </c>
      <c r="E41" s="318"/>
      <c r="F41" s="319"/>
      <c r="G41" s="645"/>
      <c r="H41" s="645"/>
      <c r="I41" s="273"/>
      <c r="J41" s="273"/>
      <c r="K41" s="30"/>
    </row>
    <row r="42" spans="1:21" ht="15" customHeight="1" x14ac:dyDescent="0.2">
      <c r="A42" s="282"/>
      <c r="B42" s="229" t="s">
        <v>834</v>
      </c>
      <c r="C42" s="231" t="s">
        <v>833</v>
      </c>
      <c r="D42" s="413" t="str">
        <f>IF(OR(ISNUMBER(D40),ISNUMBER(D41)),SUM(D40,D41),"")</f>
        <v/>
      </c>
      <c r="E42" s="318"/>
      <c r="F42" s="319"/>
      <c r="G42" s="607">
        <f>Parameters!E35</f>
        <v>0.75</v>
      </c>
      <c r="H42" s="608" t="str">
        <f>IF(AND(ISNUMBER(D42),ISNUMBER(G42)),D42*G42,"")</f>
        <v/>
      </c>
      <c r="I42" s="273"/>
      <c r="J42" s="273"/>
      <c r="K42" s="30"/>
    </row>
    <row r="43" spans="1:21" ht="15" customHeight="1" x14ac:dyDescent="0.2">
      <c r="A43" s="282"/>
      <c r="B43" s="232" t="s">
        <v>835</v>
      </c>
      <c r="C43" s="609" t="s">
        <v>836</v>
      </c>
      <c r="D43" s="2" t="str">
        <f>IF(OR(ISNUMBER(D38),ISNUMBER(D39)),SUM(D38:D39),"")</f>
        <v/>
      </c>
      <c r="E43" s="318"/>
      <c r="F43" s="319"/>
      <c r="G43" s="645"/>
      <c r="H43" s="285" t="str">
        <f>IF(OR(ISNUMBER(H38),ISNUMBER(H39)),SUM(H38:H39),"")</f>
        <v/>
      </c>
      <c r="I43" s="273"/>
      <c r="J43" s="273"/>
      <c r="K43" s="30"/>
    </row>
    <row r="44" spans="1:21" ht="15" customHeight="1" x14ac:dyDescent="0.2">
      <c r="A44" s="282"/>
      <c r="B44" s="229" t="s">
        <v>837</v>
      </c>
      <c r="C44" s="231" t="s">
        <v>833</v>
      </c>
      <c r="D44" s="284" t="str">
        <f>IF(OR(ISNUMBER(E188),ISNUMBER(E202),ISNUMBER(E205),ISNUMBER(E285),ISNUMBER(D436),ISNUMBER(E436)),SUM(E188,E202,E205,D436)-SUM(E285,E436),"")</f>
        <v/>
      </c>
      <c r="E44" s="318"/>
      <c r="F44" s="319"/>
      <c r="G44" s="645"/>
      <c r="H44" s="645"/>
      <c r="I44" s="273"/>
      <c r="J44" s="273"/>
      <c r="K44" s="30"/>
    </row>
    <row r="45" spans="1:21" ht="15" customHeight="1" x14ac:dyDescent="0.2">
      <c r="A45" s="282"/>
      <c r="B45" s="229" t="s">
        <v>838</v>
      </c>
      <c r="C45" s="231" t="s">
        <v>833</v>
      </c>
      <c r="D45" s="413" t="str">
        <f>IF(OR(ISNUMBER(D43),ISNUMBER(D44)),SUM(D43,D44),"")</f>
        <v/>
      </c>
      <c r="E45" s="318"/>
      <c r="F45" s="319"/>
      <c r="G45" s="607">
        <f>Parameters!E36</f>
        <v>0.5</v>
      </c>
      <c r="H45" s="667" t="str">
        <f>IF(AND(ISNUMBER(D45),ISNUMBER(G45)),D45*G45,"")</f>
        <v/>
      </c>
      <c r="I45" s="273"/>
      <c r="J45" s="273"/>
      <c r="K45" s="30"/>
    </row>
    <row r="46" spans="1:21" ht="15" customHeight="1" x14ac:dyDescent="0.2">
      <c r="A46" s="282"/>
      <c r="B46" s="229" t="s">
        <v>839</v>
      </c>
      <c r="C46" s="231" t="s">
        <v>833</v>
      </c>
      <c r="D46" s="413" t="str">
        <f>IF(OR(ISNUMBER(D42),ISNUMBER(D45)),SUM(D42,D45),"")</f>
        <v/>
      </c>
      <c r="E46" s="318"/>
      <c r="F46" s="319"/>
      <c r="G46" s="645"/>
      <c r="H46" s="668" t="str">
        <f>IF(OR(ISNUMBER(H42),ISNUMBER(H45)),SUM(H42,H45),"")</f>
        <v/>
      </c>
      <c r="I46" s="273"/>
      <c r="J46" s="273"/>
      <c r="K46" s="30"/>
    </row>
    <row r="47" spans="1:21" s="267" customFormat="1" ht="15" customHeight="1" x14ac:dyDescent="0.2">
      <c r="A47" s="383"/>
      <c r="B47" s="29"/>
      <c r="C47" s="29"/>
      <c r="D47" s="29"/>
      <c r="E47" s="29"/>
      <c r="F47" s="29"/>
      <c r="G47" s="29"/>
      <c r="H47" s="29"/>
      <c r="I47" s="273"/>
      <c r="J47" s="273"/>
      <c r="K47" s="30"/>
      <c r="L47" s="273"/>
      <c r="M47" s="273"/>
      <c r="N47" s="273"/>
      <c r="O47" s="273"/>
      <c r="P47" s="273"/>
      <c r="Q47" s="273"/>
      <c r="R47" s="273"/>
      <c r="S47" s="273"/>
      <c r="T47" s="273"/>
      <c r="U47" s="273"/>
    </row>
    <row r="48" spans="1:21" ht="15" customHeight="1" x14ac:dyDescent="0.2">
      <c r="A48" s="282"/>
      <c r="B48" s="233" t="s">
        <v>989</v>
      </c>
      <c r="C48" s="231" t="s">
        <v>840</v>
      </c>
      <c r="D48" s="645"/>
      <c r="E48" s="318"/>
      <c r="F48" s="319"/>
      <c r="G48" s="645"/>
      <c r="H48" s="608" t="str">
        <f>IF(AND(ISNUMBER(H21),ISNUMBER(H34)),MAX(SUM(H46)-15/85*(H21+H34),SUM(H46)-15/60*H21,0),"")</f>
        <v/>
      </c>
      <c r="I48" s="273"/>
      <c r="J48" s="273"/>
      <c r="K48" s="30"/>
    </row>
    <row r="49" spans="1:21" ht="15" customHeight="1" x14ac:dyDescent="0.2">
      <c r="A49" s="282"/>
      <c r="B49" s="233" t="s">
        <v>990</v>
      </c>
      <c r="C49" s="231" t="s">
        <v>841</v>
      </c>
      <c r="D49" s="645"/>
      <c r="E49" s="318"/>
      <c r="F49" s="319"/>
      <c r="G49" s="645"/>
      <c r="H49" s="608" t="str">
        <f>IF(AND(ISNUMBER(H34),ISNUMBER(H48)),MAX((SUM(H34,H46)-H48)-2/3*H21,0),"")</f>
        <v/>
      </c>
      <c r="I49" s="273"/>
      <c r="J49" s="273"/>
      <c r="K49" s="30"/>
    </row>
    <row r="50" spans="1:21" s="267" customFormat="1" ht="45" customHeight="1" x14ac:dyDescent="0.25">
      <c r="A50" s="81" t="s">
        <v>991</v>
      </c>
      <c r="B50" s="81"/>
      <c r="C50" s="271"/>
      <c r="D50" s="271"/>
      <c r="E50" s="272"/>
      <c r="F50" s="273"/>
      <c r="G50" s="273"/>
      <c r="H50" s="273"/>
      <c r="I50" s="273"/>
      <c r="J50" s="273"/>
      <c r="K50" s="30"/>
      <c r="L50" s="273"/>
      <c r="M50" s="273"/>
      <c r="N50" s="273"/>
      <c r="O50" s="273"/>
      <c r="P50" s="273"/>
      <c r="Q50" s="273"/>
      <c r="R50" s="273"/>
      <c r="S50" s="273"/>
      <c r="T50" s="273"/>
      <c r="U50" s="273"/>
    </row>
    <row r="51" spans="1:21" ht="30" customHeight="1" x14ac:dyDescent="0.2">
      <c r="A51" s="279"/>
      <c r="B51" s="438"/>
      <c r="C51" s="438"/>
      <c r="D51" s="438"/>
      <c r="E51" s="438"/>
      <c r="F51" s="438"/>
      <c r="G51" s="280"/>
      <c r="H51" s="281" t="s">
        <v>679</v>
      </c>
      <c r="I51" s="273"/>
      <c r="J51" s="273"/>
      <c r="K51" s="30"/>
    </row>
    <row r="52" spans="1:21" ht="15" customHeight="1" x14ac:dyDescent="0.2">
      <c r="A52" s="282"/>
      <c r="B52" s="232" t="s">
        <v>992</v>
      </c>
      <c r="C52" s="651"/>
      <c r="D52" s="652"/>
      <c r="E52" s="567"/>
      <c r="F52" s="567"/>
      <c r="G52" s="653"/>
      <c r="H52" s="285" t="str">
        <f>IF(AND(ISNUMBER(H19),ISNUMBER(H32)),SUM(H19,H32,H40,H43)-SUM(H48,H49),"")</f>
        <v/>
      </c>
      <c r="I52" s="273"/>
      <c r="J52" s="273"/>
      <c r="K52" s="30"/>
    </row>
    <row r="53" spans="1:21" ht="15" customHeight="1" x14ac:dyDescent="0.2">
      <c r="A53" s="383"/>
      <c r="B53" s="29"/>
      <c r="C53" s="29"/>
      <c r="D53" s="29"/>
      <c r="E53" s="29"/>
      <c r="F53" s="29"/>
      <c r="G53" s="29"/>
      <c r="H53" s="29"/>
      <c r="I53" s="273"/>
      <c r="J53" s="273"/>
      <c r="K53" s="30"/>
    </row>
    <row r="54" spans="1:21" ht="15" customHeight="1" x14ac:dyDescent="0.2">
      <c r="A54" s="383"/>
      <c r="B54" s="29"/>
      <c r="C54" s="843" t="s">
        <v>986</v>
      </c>
      <c r="D54" s="845" t="s">
        <v>687</v>
      </c>
      <c r="E54" s="846"/>
      <c r="F54" s="846"/>
      <c r="G54" s="847"/>
      <c r="H54" s="645"/>
      <c r="I54" s="273"/>
      <c r="J54" s="273"/>
      <c r="K54" s="30"/>
    </row>
    <row r="55" spans="1:21" ht="30" customHeight="1" x14ac:dyDescent="0.2">
      <c r="A55" s="383"/>
      <c r="B55" s="29"/>
      <c r="C55" s="844"/>
      <c r="D55" s="281" t="s">
        <v>331</v>
      </c>
      <c r="E55" s="281" t="s">
        <v>842</v>
      </c>
      <c r="F55" s="281" t="s">
        <v>843</v>
      </c>
      <c r="G55" s="281" t="s">
        <v>844</v>
      </c>
      <c r="H55" s="645"/>
      <c r="I55" s="273"/>
      <c r="J55" s="273"/>
      <c r="K55" s="30"/>
    </row>
    <row r="56" spans="1:21" ht="15" customHeight="1" x14ac:dyDescent="0.2">
      <c r="A56" s="282"/>
      <c r="B56" s="229" t="s">
        <v>993</v>
      </c>
      <c r="C56" s="611" t="s">
        <v>854</v>
      </c>
      <c r="D56" s="648"/>
      <c r="E56" s="648"/>
      <c r="F56" s="649"/>
      <c r="G56" s="649"/>
      <c r="H56" s="645"/>
      <c r="I56" s="273"/>
      <c r="J56" s="273"/>
      <c r="K56" s="30"/>
    </row>
    <row r="57" spans="1:21" ht="15" customHeight="1" x14ac:dyDescent="0.2">
      <c r="A57" s="282"/>
      <c r="B57" s="251" t="s">
        <v>334</v>
      </c>
      <c r="C57" s="645"/>
      <c r="D57" s="648"/>
      <c r="E57" s="648"/>
      <c r="F57" s="649"/>
      <c r="G57" s="649"/>
      <c r="H57" s="645"/>
      <c r="I57" s="273"/>
      <c r="J57" s="273"/>
      <c r="K57" s="30"/>
    </row>
    <row r="58" spans="1:21" ht="15" customHeight="1" x14ac:dyDescent="0.2">
      <c r="A58" s="282"/>
      <c r="B58" s="437" t="str">
        <f>CONCATENATE("Check: row ", ROW(B57), " ≤ row ", ROW(B56))</f>
        <v>Check: row 57 ≤ row 56</v>
      </c>
      <c r="C58" s="645"/>
      <c r="D58" s="495" t="str">
        <f>IF((D57&lt;=D56),"Pass","Fail")</f>
        <v>Pass</v>
      </c>
      <c r="E58" s="495" t="str">
        <f>IF((E57&lt;=E56),"Pass","Fail")</f>
        <v>Pass</v>
      </c>
      <c r="F58" s="495" t="str">
        <f>IF((F57&lt;=F56),"Pass","Fail")</f>
        <v>Pass</v>
      </c>
      <c r="G58" s="495" t="str">
        <f>IF((G57&lt;=G56),"Pass","Fail")</f>
        <v>Pass</v>
      </c>
      <c r="H58" s="645"/>
      <c r="I58" s="273"/>
      <c r="J58" s="273"/>
      <c r="K58" s="30"/>
    </row>
    <row r="59" spans="1:21" ht="15" customHeight="1" x14ac:dyDescent="0.2">
      <c r="A59" s="282"/>
      <c r="B59" s="229" t="s">
        <v>845</v>
      </c>
      <c r="C59" s="611" t="s">
        <v>855</v>
      </c>
      <c r="D59" s="648"/>
      <c r="E59" s="648"/>
      <c r="F59" s="649"/>
      <c r="G59" s="649"/>
      <c r="H59" s="645"/>
      <c r="I59" s="273"/>
      <c r="J59" s="273"/>
      <c r="K59" s="30"/>
    </row>
    <row r="60" spans="1:21" ht="15" customHeight="1" x14ac:dyDescent="0.2">
      <c r="A60" s="282"/>
      <c r="B60" s="251" t="s">
        <v>335</v>
      </c>
      <c r="C60" s="645"/>
      <c r="D60" s="648"/>
      <c r="E60" s="648"/>
      <c r="F60" s="649"/>
      <c r="G60" s="649"/>
      <c r="H60" s="645"/>
      <c r="I60" s="273"/>
      <c r="J60" s="273"/>
      <c r="K60" s="30"/>
    </row>
    <row r="61" spans="1:21" ht="15" customHeight="1" x14ac:dyDescent="0.2">
      <c r="A61" s="282"/>
      <c r="B61" s="437" t="str">
        <f>CONCATENATE("Check: row ", ROW(B60), " ≤ row ", ROW(B59))</f>
        <v>Check: row 60 ≤ row 59</v>
      </c>
      <c r="C61" s="645"/>
      <c r="D61" s="495" t="str">
        <f>IF((D60&lt;=D59),"Pass","Fail")</f>
        <v>Pass</v>
      </c>
      <c r="E61" s="495" t="str">
        <f>IF((E60&lt;=E59),"Pass","Fail")</f>
        <v>Pass</v>
      </c>
      <c r="F61" s="495" t="str">
        <f>IF((F60&lt;=F59),"Pass","Fail")</f>
        <v>Pass</v>
      </c>
      <c r="G61" s="495" t="str">
        <f>IF((G60&lt;=G59),"Pass","Fail")</f>
        <v>Pass</v>
      </c>
      <c r="H61" s="645"/>
      <c r="I61" s="273"/>
      <c r="J61" s="273"/>
      <c r="K61" s="30"/>
    </row>
    <row r="62" spans="1:21" s="267" customFormat="1" ht="45" customHeight="1" x14ac:dyDescent="0.25">
      <c r="A62" s="81" t="s">
        <v>979</v>
      </c>
      <c r="B62" s="81"/>
      <c r="C62" s="271"/>
      <c r="D62" s="271"/>
      <c r="E62" s="272"/>
      <c r="F62" s="273"/>
      <c r="G62" s="273"/>
      <c r="H62" s="273"/>
      <c r="I62" s="273"/>
      <c r="J62" s="273"/>
      <c r="K62" s="30"/>
      <c r="L62" s="273"/>
      <c r="M62" s="273"/>
      <c r="N62" s="273"/>
      <c r="O62" s="273"/>
      <c r="P62" s="273"/>
      <c r="Q62" s="273"/>
      <c r="R62" s="273"/>
      <c r="S62" s="273"/>
      <c r="T62" s="273"/>
      <c r="U62" s="273"/>
    </row>
    <row r="63" spans="1:21" s="267" customFormat="1" ht="15" customHeight="1" x14ac:dyDescent="0.25">
      <c r="A63" s="81"/>
      <c r="B63" s="81"/>
      <c r="C63" s="271"/>
      <c r="D63" s="271"/>
      <c r="E63" s="272"/>
      <c r="F63" s="273"/>
      <c r="G63" s="273"/>
      <c r="H63" s="273"/>
      <c r="I63" s="273"/>
      <c r="J63" s="273"/>
      <c r="K63" s="30"/>
      <c r="L63" s="273"/>
      <c r="M63" s="273"/>
      <c r="N63" s="273"/>
      <c r="O63" s="273"/>
      <c r="P63" s="273"/>
      <c r="Q63" s="273"/>
      <c r="R63" s="273"/>
      <c r="S63" s="273"/>
      <c r="T63" s="273"/>
      <c r="U63" s="273"/>
    </row>
    <row r="64" spans="1:21" s="267" customFormat="1" ht="15" customHeight="1" x14ac:dyDescent="0.25">
      <c r="A64" s="81"/>
      <c r="B64" s="312" t="s">
        <v>994</v>
      </c>
      <c r="C64" s="313" t="str">
        <f>Parameters!E40</f>
        <v>No</v>
      </c>
      <c r="D64" s="271"/>
      <c r="E64" s="272"/>
      <c r="F64" s="273"/>
      <c r="G64" s="273"/>
      <c r="H64" s="273"/>
      <c r="I64" s="273"/>
      <c r="J64" s="273"/>
      <c r="K64" s="30"/>
      <c r="L64" s="273"/>
      <c r="M64" s="273"/>
      <c r="N64" s="273"/>
      <c r="O64" s="273"/>
      <c r="P64" s="273"/>
      <c r="Q64" s="273"/>
      <c r="R64" s="273"/>
      <c r="S64" s="273"/>
      <c r="T64" s="273"/>
      <c r="U64" s="273"/>
    </row>
    <row r="65" spans="1:21" s="267" customFormat="1" ht="15" customHeight="1" x14ac:dyDescent="0.25">
      <c r="A65" s="81"/>
      <c r="B65" s="81"/>
      <c r="C65" s="271"/>
      <c r="D65" s="271"/>
      <c r="E65" s="272"/>
      <c r="F65" s="273"/>
      <c r="G65" s="273"/>
      <c r="H65" s="273"/>
      <c r="I65" s="273"/>
      <c r="J65" s="273"/>
      <c r="K65" s="30"/>
      <c r="L65" s="273"/>
      <c r="M65" s="273"/>
      <c r="N65" s="273"/>
      <c r="O65" s="273"/>
      <c r="P65" s="273"/>
      <c r="Q65" s="273"/>
      <c r="R65" s="273"/>
      <c r="S65" s="273"/>
      <c r="T65" s="273"/>
      <c r="U65" s="273"/>
    </row>
    <row r="66" spans="1:21" ht="30" customHeight="1" x14ac:dyDescent="0.2">
      <c r="A66" s="279"/>
      <c r="B66" s="280"/>
      <c r="C66" s="281" t="s">
        <v>986</v>
      </c>
      <c r="D66" s="281" t="s">
        <v>643</v>
      </c>
      <c r="E66" s="540"/>
      <c r="F66" s="541"/>
      <c r="G66" s="281" t="s">
        <v>678</v>
      </c>
      <c r="H66" s="281" t="s">
        <v>679</v>
      </c>
      <c r="I66" s="273"/>
      <c r="J66" s="273"/>
      <c r="K66" s="30"/>
    </row>
    <row r="67" spans="1:21" ht="15" customHeight="1" x14ac:dyDescent="0.2">
      <c r="A67" s="282"/>
      <c r="B67" s="230" t="s">
        <v>25</v>
      </c>
      <c r="C67" s="231">
        <v>58</v>
      </c>
      <c r="D67" s="322"/>
      <c r="E67" s="540"/>
      <c r="F67" s="541"/>
      <c r="G67" s="283">
        <f>Parameters!E43</f>
        <v>0</v>
      </c>
      <c r="H67" s="284" t="str">
        <f>IF(AND(ISNUMBER(D67),ISNUMBER(G67)),D67*G67,"")</f>
        <v/>
      </c>
      <c r="I67" s="273"/>
      <c r="J67" s="273"/>
      <c r="K67" s="30"/>
    </row>
    <row r="68" spans="1:21" ht="15" customHeight="1" x14ac:dyDescent="0.2">
      <c r="A68" s="282"/>
      <c r="B68" s="230" t="s">
        <v>846</v>
      </c>
      <c r="C68" s="231">
        <v>59</v>
      </c>
      <c r="D68" s="654"/>
      <c r="E68" s="540"/>
      <c r="F68" s="541"/>
      <c r="G68" s="290"/>
      <c r="H68" s="290"/>
      <c r="I68" s="273"/>
      <c r="J68" s="273"/>
      <c r="K68" s="30"/>
    </row>
    <row r="69" spans="1:21" ht="15" customHeight="1" x14ac:dyDescent="0.2">
      <c r="A69" s="282"/>
      <c r="B69" s="252" t="s">
        <v>701</v>
      </c>
      <c r="C69" s="645"/>
      <c r="D69" s="322"/>
      <c r="E69" s="540"/>
      <c r="F69" s="541"/>
      <c r="G69" s="283">
        <f>Parameters!E45</f>
        <v>0</v>
      </c>
      <c r="H69" s="284" t="str">
        <f>IF(AND(ISNUMBER(D69),ISNUMBER(G69)),D69*G69,"")</f>
        <v/>
      </c>
      <c r="I69" s="273"/>
      <c r="J69" s="273"/>
      <c r="K69" s="30"/>
    </row>
    <row r="70" spans="1:21" ht="15" customHeight="1" x14ac:dyDescent="0.2">
      <c r="A70" s="282"/>
      <c r="B70" s="252" t="s">
        <v>702</v>
      </c>
      <c r="C70" s="645"/>
      <c r="D70" s="322"/>
      <c r="E70" s="540"/>
      <c r="F70" s="541"/>
      <c r="G70" s="283">
        <f>Parameters!E46</f>
        <v>0</v>
      </c>
      <c r="H70" s="284" t="str">
        <f>IF(AND(ISNUMBER(D70),ISNUMBER(G70)),D70*G70,"")</f>
        <v/>
      </c>
      <c r="I70" s="273"/>
      <c r="J70" s="273"/>
      <c r="K70" s="30"/>
    </row>
    <row r="71" spans="1:21" ht="15" customHeight="1" x14ac:dyDescent="0.2">
      <c r="A71" s="282"/>
      <c r="B71" s="230" t="s">
        <v>995</v>
      </c>
      <c r="C71" s="231">
        <v>62</v>
      </c>
      <c r="D71" s="322"/>
      <c r="E71" s="540"/>
      <c r="F71" s="541"/>
      <c r="G71" s="283">
        <f>Parameters!E47</f>
        <v>0</v>
      </c>
      <c r="H71" s="284" t="str">
        <f>IF(AND(ISNUMBER(D71),ISNUMBER(G71)),D71*G71,"")</f>
        <v/>
      </c>
      <c r="I71" s="273"/>
      <c r="J71" s="273"/>
      <c r="K71" s="30"/>
    </row>
    <row r="72" spans="1:21" ht="15" customHeight="1" x14ac:dyDescent="0.2">
      <c r="A72" s="282"/>
      <c r="B72" s="223" t="s">
        <v>703</v>
      </c>
      <c r="C72" s="645"/>
      <c r="D72" s="654"/>
      <c r="E72" s="540"/>
      <c r="F72" s="541"/>
      <c r="G72" s="290"/>
      <c r="H72" s="284" t="str">
        <f>IF(OR(ISNUMBER(H67),ISNUMBER(H69),ISNUMBER(H70),ISNUMBER(H71)),SUM(H67,H69:H71),"")</f>
        <v/>
      </c>
      <c r="I72" s="273"/>
      <c r="J72" s="273"/>
      <c r="K72" s="30"/>
    </row>
    <row r="73" spans="1:21" ht="15" customHeight="1" x14ac:dyDescent="0.2">
      <c r="A73" s="282"/>
      <c r="B73" s="223" t="s">
        <v>704</v>
      </c>
      <c r="C73" s="645"/>
      <c r="D73" s="654"/>
      <c r="E73" s="540"/>
      <c r="F73" s="541"/>
      <c r="G73" s="290"/>
      <c r="H73" s="322"/>
      <c r="I73" s="273"/>
      <c r="J73" s="273"/>
      <c r="K73" s="30"/>
    </row>
    <row r="74" spans="1:21" ht="15" customHeight="1" x14ac:dyDescent="0.2">
      <c r="A74" s="282"/>
      <c r="B74" s="223" t="s">
        <v>705</v>
      </c>
      <c r="C74" s="645"/>
      <c r="D74" s="654"/>
      <c r="E74" s="540"/>
      <c r="F74" s="541"/>
      <c r="G74" s="290"/>
      <c r="H74" s="284" t="str">
        <f>IF(AND(ISNUMBER(H72),ISNUMBER(H73)),MIN(H72,H73),"")</f>
        <v/>
      </c>
      <c r="I74" s="273"/>
      <c r="J74" s="273"/>
      <c r="K74" s="30"/>
    </row>
    <row r="75" spans="1:21" s="267" customFormat="1" ht="45" customHeight="1" x14ac:dyDescent="0.25">
      <c r="A75" s="81" t="s">
        <v>996</v>
      </c>
      <c r="B75" s="81"/>
      <c r="C75" s="271"/>
      <c r="D75" s="271"/>
      <c r="E75" s="272"/>
      <c r="F75" s="273"/>
      <c r="G75" s="273"/>
      <c r="H75" s="273"/>
      <c r="I75" s="273"/>
      <c r="J75" s="273"/>
      <c r="K75" s="30"/>
      <c r="L75" s="273"/>
      <c r="M75" s="273"/>
      <c r="N75" s="273"/>
      <c r="O75" s="273"/>
      <c r="P75" s="273"/>
      <c r="Q75" s="273"/>
      <c r="R75" s="273"/>
      <c r="S75" s="273"/>
      <c r="T75" s="273"/>
      <c r="U75" s="273"/>
    </row>
    <row r="76" spans="1:21" ht="15" customHeight="1" x14ac:dyDescent="0.2">
      <c r="A76" s="282"/>
      <c r="B76" s="236"/>
      <c r="C76" s="234"/>
      <c r="D76" s="291"/>
      <c r="E76" s="292"/>
      <c r="F76" s="293"/>
      <c r="G76" s="278"/>
      <c r="H76" s="278"/>
      <c r="I76" s="273"/>
      <c r="J76" s="273"/>
      <c r="K76" s="30"/>
    </row>
    <row r="77" spans="1:21" ht="15" customHeight="1" x14ac:dyDescent="0.2">
      <c r="A77" s="294"/>
      <c r="B77" s="244" t="s">
        <v>997</v>
      </c>
      <c r="C77" s="241"/>
      <c r="D77" s="295"/>
      <c r="E77" s="295"/>
      <c r="F77" s="295"/>
      <c r="G77" s="296"/>
      <c r="H77" s="297" t="str">
        <f>IF(C64="Yes",SUM(H52,H74),H52)</f>
        <v/>
      </c>
      <c r="I77" s="273"/>
      <c r="J77" s="273"/>
      <c r="K77" s="30"/>
    </row>
    <row r="78" spans="1:21" ht="15" customHeight="1" x14ac:dyDescent="0.2">
      <c r="A78" s="282"/>
      <c r="B78" s="236"/>
      <c r="C78" s="276"/>
      <c r="D78" s="277"/>
      <c r="E78" s="278"/>
      <c r="F78" s="298"/>
      <c r="G78" s="278"/>
      <c r="H78" s="278"/>
      <c r="I78" s="273"/>
      <c r="J78" s="273"/>
      <c r="K78" s="30"/>
    </row>
    <row r="79" spans="1:21" s="270" customFormat="1" ht="30" customHeight="1" x14ac:dyDescent="0.25">
      <c r="A79" s="43" t="s">
        <v>61</v>
      </c>
      <c r="B79" s="268"/>
      <c r="C79" s="268"/>
      <c r="D79" s="268"/>
      <c r="E79" s="268"/>
      <c r="F79" s="268"/>
      <c r="G79" s="268"/>
      <c r="H79" s="268"/>
      <c r="I79" s="390"/>
      <c r="J79" s="390"/>
      <c r="K79" s="269"/>
    </row>
    <row r="80" spans="1:21" s="267" customFormat="1" ht="30" customHeight="1" x14ac:dyDescent="0.25">
      <c r="A80" s="81" t="s">
        <v>607</v>
      </c>
      <c r="B80" s="81"/>
      <c r="C80" s="271"/>
      <c r="D80" s="271"/>
      <c r="E80" s="299"/>
      <c r="F80" s="273"/>
      <c r="G80" s="273"/>
      <c r="H80" s="273"/>
      <c r="I80" s="273"/>
      <c r="J80" s="273"/>
      <c r="K80" s="30"/>
      <c r="L80" s="273"/>
      <c r="M80" s="273"/>
      <c r="N80" s="273"/>
      <c r="O80" s="273"/>
      <c r="P80" s="273"/>
      <c r="Q80" s="273"/>
      <c r="R80" s="273"/>
      <c r="S80" s="273"/>
      <c r="T80" s="273"/>
      <c r="U80" s="273"/>
    </row>
    <row r="81" spans="1:21" s="267" customFormat="1" ht="30" customHeight="1" x14ac:dyDescent="0.25">
      <c r="A81" s="81" t="s">
        <v>33</v>
      </c>
      <c r="B81" s="81"/>
      <c r="C81" s="271"/>
      <c r="D81" s="271"/>
      <c r="E81" s="272"/>
      <c r="F81" s="273"/>
      <c r="G81" s="273"/>
      <c r="H81" s="273"/>
      <c r="I81" s="273"/>
      <c r="J81" s="273"/>
      <c r="K81" s="30"/>
      <c r="L81" s="273"/>
      <c r="M81" s="273"/>
      <c r="N81" s="273"/>
      <c r="O81" s="273"/>
      <c r="P81" s="273"/>
      <c r="Q81" s="273"/>
      <c r="R81" s="273"/>
      <c r="S81" s="273"/>
      <c r="T81" s="273"/>
      <c r="U81" s="273"/>
    </row>
    <row r="82" spans="1:21" ht="30" customHeight="1" x14ac:dyDescent="0.2">
      <c r="A82" s="279"/>
      <c r="B82" s="280"/>
      <c r="C82" s="281" t="s">
        <v>986</v>
      </c>
      <c r="D82" s="281" t="s">
        <v>643</v>
      </c>
      <c r="E82" s="318"/>
      <c r="F82" s="319"/>
      <c r="G82" s="281" t="s">
        <v>678</v>
      </c>
      <c r="H82" s="281" t="s">
        <v>679</v>
      </c>
      <c r="I82" s="273"/>
      <c r="J82" s="273"/>
      <c r="K82" s="30"/>
    </row>
    <row r="83" spans="1:21" ht="15" customHeight="1" x14ac:dyDescent="0.2">
      <c r="A83" s="279"/>
      <c r="B83" s="229" t="s">
        <v>637</v>
      </c>
      <c r="C83" s="646"/>
      <c r="D83" s="670"/>
      <c r="E83" s="671"/>
      <c r="F83" s="672"/>
      <c r="G83" s="673" t="s">
        <v>707</v>
      </c>
      <c r="H83" s="673"/>
      <c r="I83" s="273"/>
      <c r="J83" s="273"/>
      <c r="K83" s="30"/>
    </row>
    <row r="84" spans="1:21" ht="15" customHeight="1" x14ac:dyDescent="0.2">
      <c r="A84" s="279"/>
      <c r="B84" s="251" t="s">
        <v>708</v>
      </c>
      <c r="C84" s="646"/>
      <c r="D84" s="670"/>
      <c r="E84" s="671"/>
      <c r="F84" s="672"/>
      <c r="G84" s="673"/>
      <c r="H84" s="673"/>
      <c r="I84" s="273"/>
      <c r="J84" s="273"/>
      <c r="K84" s="30"/>
    </row>
    <row r="85" spans="1:21" ht="15" customHeight="1" x14ac:dyDescent="0.2">
      <c r="A85" s="279"/>
      <c r="B85" s="254" t="s">
        <v>874</v>
      </c>
      <c r="C85" s="231" t="s">
        <v>980</v>
      </c>
      <c r="D85" s="670"/>
      <c r="E85" s="671"/>
      <c r="F85" s="672"/>
      <c r="G85" s="673"/>
      <c r="H85" s="673"/>
      <c r="I85" s="273"/>
      <c r="J85" s="273"/>
      <c r="K85" s="30"/>
    </row>
    <row r="86" spans="1:21" ht="15" customHeight="1" x14ac:dyDescent="0.2">
      <c r="A86" s="279"/>
      <c r="B86" s="613" t="s">
        <v>856</v>
      </c>
      <c r="C86" s="231">
        <v>78</v>
      </c>
      <c r="D86" s="674"/>
      <c r="E86" s="671"/>
      <c r="F86" s="672"/>
      <c r="G86" s="675"/>
      <c r="H86" s="673"/>
      <c r="I86" s="273"/>
      <c r="J86" s="273"/>
      <c r="K86" s="30"/>
    </row>
    <row r="87" spans="1:21" ht="15" customHeight="1" x14ac:dyDescent="0.2">
      <c r="A87" s="279"/>
      <c r="B87" s="612" t="s">
        <v>857</v>
      </c>
      <c r="C87" s="231">
        <v>78</v>
      </c>
      <c r="D87" s="322"/>
      <c r="E87" s="676"/>
      <c r="F87" s="677"/>
      <c r="G87" s="625">
        <v>0.03</v>
      </c>
      <c r="H87" s="678" t="str">
        <f>IF(AND(ISNUMBER(D87),ISNUMBER(G87)),D87*G87,"")</f>
        <v/>
      </c>
      <c r="I87" s="273"/>
      <c r="J87" s="273"/>
      <c r="K87" s="30"/>
    </row>
    <row r="88" spans="1:21" ht="15" customHeight="1" x14ac:dyDescent="0.2">
      <c r="A88" s="279"/>
      <c r="B88" s="612" t="s">
        <v>858</v>
      </c>
      <c r="C88" s="231">
        <v>78</v>
      </c>
      <c r="D88" s="322"/>
      <c r="E88" s="676"/>
      <c r="F88" s="677"/>
      <c r="G88" s="625">
        <v>0.03</v>
      </c>
      <c r="H88" s="678" t="str">
        <f>IF(AND(ISNUMBER(D88),ISNUMBER(G88)),D88*G88,"")</f>
        <v/>
      </c>
      <c r="I88" s="273"/>
      <c r="J88" s="273"/>
      <c r="K88" s="30"/>
    </row>
    <row r="89" spans="1:21" ht="15" customHeight="1" x14ac:dyDescent="0.2">
      <c r="A89" s="279"/>
      <c r="B89" s="613" t="s">
        <v>859</v>
      </c>
      <c r="C89" s="231">
        <v>75</v>
      </c>
      <c r="D89" s="681"/>
      <c r="E89" s="676"/>
      <c r="F89" s="677"/>
      <c r="G89" s="682"/>
      <c r="H89" s="673"/>
      <c r="I89" s="273"/>
      <c r="J89" s="273"/>
      <c r="K89" s="30"/>
    </row>
    <row r="90" spans="1:21" ht="15" customHeight="1" x14ac:dyDescent="0.2">
      <c r="A90" s="279"/>
      <c r="B90" s="612" t="s">
        <v>857</v>
      </c>
      <c r="C90" s="231">
        <v>75</v>
      </c>
      <c r="D90" s="648"/>
      <c r="E90" s="676"/>
      <c r="F90" s="677"/>
      <c r="G90" s="625">
        <v>0.05</v>
      </c>
      <c r="H90" s="678" t="str">
        <f>IF(AND(ISNUMBER(D90),ISNUMBER(G90)),D90*G90,"")</f>
        <v/>
      </c>
      <c r="I90" s="273"/>
      <c r="J90" s="273"/>
      <c r="K90" s="30"/>
    </row>
    <row r="91" spans="1:21" ht="15" customHeight="1" x14ac:dyDescent="0.2">
      <c r="A91" s="279"/>
      <c r="B91" s="612" t="s">
        <v>858</v>
      </c>
      <c r="C91" s="231">
        <v>75</v>
      </c>
      <c r="D91" s="648"/>
      <c r="E91" s="676"/>
      <c r="F91" s="677"/>
      <c r="G91" s="625">
        <v>0.05</v>
      </c>
      <c r="H91" s="678" t="str">
        <f>IF(AND(ISNUMBER(D91),ISNUMBER(G91)),D91*G91,"")</f>
        <v/>
      </c>
      <c r="I91" s="273"/>
      <c r="J91" s="273"/>
      <c r="K91" s="30"/>
    </row>
    <row r="92" spans="1:21" ht="29.25" customHeight="1" x14ac:dyDescent="0.2">
      <c r="A92" s="279"/>
      <c r="B92" s="254" t="s">
        <v>875</v>
      </c>
      <c r="C92" s="231" t="s">
        <v>980</v>
      </c>
      <c r="D92" s="624"/>
      <c r="E92" s="676"/>
      <c r="F92" s="677"/>
      <c r="G92" s="673"/>
      <c r="H92" s="673"/>
      <c r="I92" s="273"/>
      <c r="J92" s="273"/>
      <c r="K92" s="30"/>
    </row>
    <row r="93" spans="1:21" ht="15" customHeight="1" x14ac:dyDescent="0.2">
      <c r="A93" s="279"/>
      <c r="B93" s="613" t="s">
        <v>856</v>
      </c>
      <c r="C93" s="231">
        <v>78</v>
      </c>
      <c r="D93" s="681"/>
      <c r="E93" s="676"/>
      <c r="F93" s="677"/>
      <c r="G93" s="675"/>
      <c r="H93" s="673"/>
      <c r="I93" s="273"/>
      <c r="J93" s="273"/>
      <c r="K93" s="30"/>
    </row>
    <row r="94" spans="1:21" ht="15" customHeight="1" x14ac:dyDescent="0.2">
      <c r="A94" s="279"/>
      <c r="B94" s="612" t="s">
        <v>857</v>
      </c>
      <c r="C94" s="212"/>
      <c r="D94" s="322"/>
      <c r="E94" s="676"/>
      <c r="F94" s="677"/>
      <c r="G94" s="625">
        <v>0.03</v>
      </c>
      <c r="H94" s="678" t="str">
        <f>IF(AND(ISNUMBER(D94),ISNUMBER(G94)),D94*G94,"")</f>
        <v/>
      </c>
      <c r="I94" s="273"/>
      <c r="J94" s="273"/>
      <c r="K94" s="30"/>
    </row>
    <row r="95" spans="1:21" ht="15" customHeight="1" x14ac:dyDescent="0.2">
      <c r="A95" s="279"/>
      <c r="B95" s="612" t="s">
        <v>858</v>
      </c>
      <c r="C95" s="212"/>
      <c r="D95" s="322"/>
      <c r="E95" s="676"/>
      <c r="F95" s="677"/>
      <c r="G95" s="625">
        <v>0.03</v>
      </c>
      <c r="H95" s="678" t="str">
        <f>IF(AND(ISNUMBER(D95),ISNUMBER(G95)),D95*G95,"")</f>
        <v/>
      </c>
      <c r="I95" s="273"/>
      <c r="J95" s="273"/>
      <c r="K95" s="30"/>
    </row>
    <row r="96" spans="1:21" ht="15" customHeight="1" x14ac:dyDescent="0.2">
      <c r="A96" s="279"/>
      <c r="B96" s="613" t="s">
        <v>859</v>
      </c>
      <c r="C96" s="231">
        <v>75</v>
      </c>
      <c r="D96" s="681"/>
      <c r="E96" s="676"/>
      <c r="F96" s="677"/>
      <c r="G96" s="675"/>
      <c r="H96" s="673"/>
      <c r="I96" s="273"/>
      <c r="J96" s="273"/>
      <c r="K96" s="30"/>
    </row>
    <row r="97" spans="1:21" ht="15" customHeight="1" x14ac:dyDescent="0.2">
      <c r="A97" s="279"/>
      <c r="B97" s="612" t="s">
        <v>857</v>
      </c>
      <c r="C97" s="212"/>
      <c r="D97" s="648"/>
      <c r="E97" s="676"/>
      <c r="F97" s="677"/>
      <c r="G97" s="625">
        <v>0.05</v>
      </c>
      <c r="H97" s="678" t="str">
        <f>IF(AND(ISNUMBER(D97),ISNUMBER(G97)),D97*G97,"")</f>
        <v/>
      </c>
      <c r="I97" s="273"/>
      <c r="J97" s="273"/>
      <c r="K97" s="30"/>
    </row>
    <row r="98" spans="1:21" ht="15" customHeight="1" x14ac:dyDescent="0.2">
      <c r="A98" s="279"/>
      <c r="B98" s="612" t="s">
        <v>858</v>
      </c>
      <c r="C98" s="212"/>
      <c r="D98" s="648"/>
      <c r="E98" s="676"/>
      <c r="F98" s="677"/>
      <c r="G98" s="625">
        <v>0.05</v>
      </c>
      <c r="H98" s="678" t="str">
        <f>IF(AND(ISNUMBER(D98),ISNUMBER(G98)),D98*G98,"")</f>
        <v/>
      </c>
      <c r="I98" s="273"/>
      <c r="J98" s="273"/>
      <c r="K98" s="30"/>
    </row>
    <row r="99" spans="1:21" ht="15" customHeight="1" x14ac:dyDescent="0.2">
      <c r="A99" s="279"/>
      <c r="B99" s="254" t="s">
        <v>709</v>
      </c>
      <c r="C99" s="231">
        <v>79</v>
      </c>
      <c r="D99" s="648"/>
      <c r="E99" s="676"/>
      <c r="F99" s="677"/>
      <c r="G99" s="625">
        <v>0.1</v>
      </c>
      <c r="H99" s="678" t="str">
        <f>IF(AND(ISNUMBER(D99),ISNUMBER(G99)),D99*G99,"")</f>
        <v/>
      </c>
      <c r="I99" s="273"/>
      <c r="J99" s="273"/>
      <c r="K99" s="30"/>
    </row>
    <row r="100" spans="1:21" ht="15" customHeight="1" x14ac:dyDescent="0.2">
      <c r="A100" s="279"/>
      <c r="B100" s="251" t="s">
        <v>710</v>
      </c>
      <c r="C100" s="231">
        <v>79</v>
      </c>
      <c r="D100" s="648"/>
      <c r="E100" s="676"/>
      <c r="F100" s="677"/>
      <c r="G100" s="625">
        <v>0.1</v>
      </c>
      <c r="H100" s="678" t="str">
        <f>IF(AND(ISNUMBER(D100),ISNUMBER(G100)),D100*G100,"")</f>
        <v/>
      </c>
      <c r="I100" s="273"/>
      <c r="J100" s="273"/>
      <c r="K100" s="30"/>
    </row>
    <row r="101" spans="1:21" ht="15" customHeight="1" x14ac:dyDescent="0.2">
      <c r="A101" s="279"/>
      <c r="B101" s="251" t="s">
        <v>711</v>
      </c>
      <c r="C101" s="231">
        <v>79</v>
      </c>
      <c r="D101" s="670"/>
      <c r="E101" s="676"/>
      <c r="F101" s="677"/>
      <c r="G101" s="679"/>
      <c r="H101" s="679"/>
      <c r="I101" s="273"/>
      <c r="J101" s="273"/>
      <c r="K101" s="30"/>
    </row>
    <row r="102" spans="1:21" ht="15" customHeight="1" x14ac:dyDescent="0.2">
      <c r="A102" s="279"/>
      <c r="B102" s="643" t="str">
        <f>Parameters!A51</f>
        <v>Category 1</v>
      </c>
      <c r="C102" s="237"/>
      <c r="D102" s="322"/>
      <c r="E102" s="676"/>
      <c r="F102" s="677"/>
      <c r="G102" s="625">
        <f>Parameters!E51</f>
        <v>0</v>
      </c>
      <c r="H102" s="678" t="str">
        <f>IF(AND(ISNUMBER(D102),ISNUMBER(G102)),D102*G102,"")</f>
        <v/>
      </c>
      <c r="I102" s="273"/>
      <c r="J102" s="273"/>
      <c r="K102" s="30"/>
    </row>
    <row r="103" spans="1:21" ht="15" customHeight="1" x14ac:dyDescent="0.2">
      <c r="A103" s="279"/>
      <c r="B103" s="643" t="str">
        <f>Parameters!A52</f>
        <v>Category 2</v>
      </c>
      <c r="C103" s="237"/>
      <c r="D103" s="322"/>
      <c r="E103" s="676"/>
      <c r="F103" s="677"/>
      <c r="G103" s="625">
        <f>Parameters!E52</f>
        <v>0</v>
      </c>
      <c r="H103" s="678" t="str">
        <f>IF(AND(ISNUMBER(D103),ISNUMBER(G103)),D103*G103,"")</f>
        <v/>
      </c>
      <c r="I103" s="273"/>
      <c r="J103" s="273"/>
      <c r="K103" s="30"/>
    </row>
    <row r="104" spans="1:21" ht="15" customHeight="1" x14ac:dyDescent="0.2">
      <c r="A104" s="279"/>
      <c r="B104" s="643" t="str">
        <f>Parameters!A53</f>
        <v>Category 3</v>
      </c>
      <c r="C104" s="237"/>
      <c r="D104" s="322"/>
      <c r="E104" s="676"/>
      <c r="F104" s="677"/>
      <c r="G104" s="625">
        <f>Parameters!E53</f>
        <v>0</v>
      </c>
      <c r="H104" s="678" t="str">
        <f>IF(AND(ISNUMBER(D104),ISNUMBER(G104)),D104*G104,"")</f>
        <v/>
      </c>
      <c r="I104" s="273"/>
      <c r="J104" s="273"/>
      <c r="K104" s="30"/>
    </row>
    <row r="105" spans="1:21" ht="15" customHeight="1" x14ac:dyDescent="0.2">
      <c r="A105" s="279"/>
      <c r="B105" s="251" t="s">
        <v>860</v>
      </c>
      <c r="C105" s="231" t="s">
        <v>981</v>
      </c>
      <c r="D105" s="670"/>
      <c r="E105" s="676"/>
      <c r="F105" s="677"/>
      <c r="G105" s="679"/>
      <c r="H105" s="679"/>
      <c r="I105" s="273"/>
      <c r="J105" s="273"/>
      <c r="K105" s="30"/>
    </row>
    <row r="106" spans="1:21" ht="15" customHeight="1" x14ac:dyDescent="0.2">
      <c r="A106" s="279"/>
      <c r="B106" s="254" t="s">
        <v>715</v>
      </c>
      <c r="C106" s="231">
        <v>84</v>
      </c>
      <c r="D106" s="322"/>
      <c r="E106" s="676"/>
      <c r="F106" s="677"/>
      <c r="G106" s="625">
        <f>Parameters!E54</f>
        <v>0</v>
      </c>
      <c r="H106" s="678" t="str">
        <f>IF(AND(ISNUMBER(D106),ISNUMBER(G106)),D106*G106,"")</f>
        <v/>
      </c>
      <c r="I106" s="273"/>
      <c r="J106" s="273"/>
      <c r="K106" s="30"/>
    </row>
    <row r="107" spans="1:21" ht="15" customHeight="1" x14ac:dyDescent="0.2">
      <c r="A107" s="279"/>
      <c r="B107" s="254" t="s">
        <v>716</v>
      </c>
      <c r="C107" s="231">
        <v>82</v>
      </c>
      <c r="D107" s="648"/>
      <c r="E107" s="676"/>
      <c r="F107" s="677"/>
      <c r="G107" s="625">
        <v>0</v>
      </c>
      <c r="H107" s="678" t="str">
        <f>IF(AND(ISNUMBER(D107),ISNUMBER(G107)),D107*G107,"")</f>
        <v/>
      </c>
      <c r="I107" s="273"/>
      <c r="J107" s="273"/>
      <c r="K107" s="30"/>
    </row>
    <row r="108" spans="1:21" ht="15" customHeight="1" x14ac:dyDescent="0.2">
      <c r="A108" s="279"/>
      <c r="B108" s="232" t="s">
        <v>717</v>
      </c>
      <c r="C108" s="237"/>
      <c r="D108" s="681"/>
      <c r="E108" s="676"/>
      <c r="F108" s="677"/>
      <c r="G108" s="682"/>
      <c r="H108" s="680" t="str">
        <f>IF(AND(ISNUMBER(H90),ISNUMBER(H91),ISNUMBER(H97),ISNUMBER(H98),ISNUMBER(H99),ISNUMBER(H100),ISNUMBER(H107)),SUM(H87:H88,H90:H91,H94:H95,H97:H100,H102:H104,H106:H107),"")</f>
        <v/>
      </c>
      <c r="I108" s="273"/>
      <c r="J108" s="273"/>
      <c r="K108" s="30"/>
      <c r="L108" s="732"/>
    </row>
    <row r="109" spans="1:21" s="267" customFormat="1" ht="45" customHeight="1" x14ac:dyDescent="0.25">
      <c r="A109" s="81" t="s">
        <v>62</v>
      </c>
      <c r="B109" s="81"/>
      <c r="C109" s="271"/>
      <c r="D109" s="271"/>
      <c r="E109" s="272"/>
      <c r="F109" s="273"/>
      <c r="G109" s="273"/>
      <c r="H109" s="273"/>
      <c r="I109" s="273"/>
      <c r="J109" s="273"/>
      <c r="K109" s="30"/>
      <c r="L109" s="273"/>
      <c r="M109" s="273"/>
      <c r="N109" s="273"/>
      <c r="O109" s="273"/>
      <c r="P109" s="273"/>
      <c r="Q109" s="273"/>
      <c r="R109" s="273"/>
      <c r="S109" s="273"/>
      <c r="T109" s="273"/>
      <c r="U109" s="273"/>
    </row>
    <row r="110" spans="1:21" ht="30" customHeight="1" x14ac:dyDescent="0.2">
      <c r="A110" s="279"/>
      <c r="B110" s="280"/>
      <c r="C110" s="281" t="s">
        <v>986</v>
      </c>
      <c r="D110" s="281" t="s">
        <v>643</v>
      </c>
      <c r="E110" s="318"/>
      <c r="F110" s="319"/>
      <c r="G110" s="281" t="s">
        <v>678</v>
      </c>
      <c r="H110" s="281" t="s">
        <v>679</v>
      </c>
      <c r="I110" s="273"/>
      <c r="J110" s="273"/>
      <c r="K110" s="30"/>
    </row>
    <row r="111" spans="1:21" ht="15" customHeight="1" x14ac:dyDescent="0.2">
      <c r="A111" s="279"/>
      <c r="B111" s="233" t="s">
        <v>718</v>
      </c>
      <c r="C111" s="231" t="s">
        <v>861</v>
      </c>
      <c r="D111" s="686"/>
      <c r="E111" s="676"/>
      <c r="F111" s="677"/>
      <c r="G111" s="686"/>
      <c r="H111" s="686"/>
      <c r="I111" s="273"/>
      <c r="J111" s="273"/>
      <c r="K111" s="30"/>
    </row>
    <row r="112" spans="1:21" ht="15" customHeight="1" x14ac:dyDescent="0.2">
      <c r="A112" s="279"/>
      <c r="B112" s="251" t="s">
        <v>719</v>
      </c>
      <c r="C112" s="616" t="s">
        <v>862</v>
      </c>
      <c r="D112" s="686"/>
      <c r="E112" s="676"/>
      <c r="F112" s="677"/>
      <c r="G112" s="686" t="s">
        <v>707</v>
      </c>
      <c r="H112" s="686"/>
      <c r="I112" s="273"/>
      <c r="J112" s="273"/>
      <c r="K112" s="30"/>
    </row>
    <row r="113" spans="1:11" ht="15" customHeight="1" x14ac:dyDescent="0.2">
      <c r="A113" s="279"/>
      <c r="B113" s="254" t="s">
        <v>708</v>
      </c>
      <c r="C113" s="616" t="s">
        <v>863</v>
      </c>
      <c r="D113" s="686"/>
      <c r="E113" s="676"/>
      <c r="F113" s="677"/>
      <c r="G113" s="686"/>
      <c r="H113" s="686"/>
      <c r="I113" s="273"/>
      <c r="J113" s="273"/>
      <c r="K113" s="30"/>
    </row>
    <row r="114" spans="1:11" ht="15" customHeight="1" x14ac:dyDescent="0.2">
      <c r="A114" s="279"/>
      <c r="B114" s="255" t="s">
        <v>874</v>
      </c>
      <c r="C114" s="231" t="s">
        <v>864</v>
      </c>
      <c r="D114" s="681"/>
      <c r="E114" s="676"/>
      <c r="F114" s="677"/>
      <c r="G114" s="682"/>
      <c r="H114" s="673"/>
      <c r="I114" s="273"/>
      <c r="J114" s="273"/>
      <c r="K114" s="30"/>
    </row>
    <row r="115" spans="1:11" ht="15" customHeight="1" x14ac:dyDescent="0.2">
      <c r="A115" s="279"/>
      <c r="B115" s="615" t="s">
        <v>856</v>
      </c>
      <c r="C115" s="231" t="s">
        <v>865</v>
      </c>
      <c r="D115" s="681"/>
      <c r="E115" s="676"/>
      <c r="F115" s="677"/>
      <c r="G115" s="682"/>
      <c r="H115" s="673"/>
      <c r="I115" s="273"/>
      <c r="J115" s="273"/>
      <c r="K115" s="30"/>
    </row>
    <row r="116" spans="1:11" ht="15" customHeight="1" x14ac:dyDescent="0.2">
      <c r="A116" s="279"/>
      <c r="B116" s="614" t="s">
        <v>857</v>
      </c>
      <c r="C116" s="231" t="s">
        <v>865</v>
      </c>
      <c r="D116" s="322"/>
      <c r="E116" s="676"/>
      <c r="F116" s="677"/>
      <c r="G116" s="625">
        <v>0.03</v>
      </c>
      <c r="H116" s="678" t="str">
        <f>IF(AND(ISNUMBER(D116),ISNUMBER(G116)),D116*G116,"")</f>
        <v/>
      </c>
      <c r="I116" s="273"/>
      <c r="J116" s="273"/>
      <c r="K116" s="30"/>
    </row>
    <row r="117" spans="1:11" ht="15" customHeight="1" x14ac:dyDescent="0.2">
      <c r="A117" s="279"/>
      <c r="B117" s="614" t="s">
        <v>858</v>
      </c>
      <c r="C117" s="231" t="s">
        <v>865</v>
      </c>
      <c r="D117" s="322"/>
      <c r="E117" s="676"/>
      <c r="F117" s="677"/>
      <c r="G117" s="625">
        <v>0.03</v>
      </c>
      <c r="H117" s="678" t="str">
        <f>IF(AND(ISNUMBER(D117),ISNUMBER(G117)),D117*G117,"")</f>
        <v/>
      </c>
      <c r="I117" s="273"/>
      <c r="J117" s="273"/>
      <c r="K117" s="30"/>
    </row>
    <row r="118" spans="1:11" ht="15" customHeight="1" x14ac:dyDescent="0.2">
      <c r="A118" s="279"/>
      <c r="B118" s="615" t="s">
        <v>859</v>
      </c>
      <c r="C118" s="231" t="s">
        <v>866</v>
      </c>
      <c r="D118" s="681"/>
      <c r="E118" s="676"/>
      <c r="F118" s="677"/>
      <c r="G118" s="682"/>
      <c r="H118" s="673"/>
      <c r="I118" s="273"/>
      <c r="J118" s="273"/>
      <c r="K118" s="30"/>
    </row>
    <row r="119" spans="1:11" ht="15" customHeight="1" x14ac:dyDescent="0.2">
      <c r="A119" s="279"/>
      <c r="B119" s="614" t="s">
        <v>857</v>
      </c>
      <c r="C119" s="231" t="s">
        <v>866</v>
      </c>
      <c r="D119" s="648"/>
      <c r="E119" s="676"/>
      <c r="F119" s="677"/>
      <c r="G119" s="625">
        <v>0.05</v>
      </c>
      <c r="H119" s="678" t="str">
        <f>IF(AND(ISNUMBER(D119),ISNUMBER(G119)),D119*G119,"")</f>
        <v/>
      </c>
      <c r="I119" s="273"/>
      <c r="J119" s="273"/>
      <c r="K119" s="30"/>
    </row>
    <row r="120" spans="1:11" ht="15" customHeight="1" x14ac:dyDescent="0.2">
      <c r="A120" s="279"/>
      <c r="B120" s="614" t="s">
        <v>858</v>
      </c>
      <c r="C120" s="231" t="s">
        <v>866</v>
      </c>
      <c r="D120" s="648"/>
      <c r="E120" s="676"/>
      <c r="F120" s="677"/>
      <c r="G120" s="625">
        <v>0.05</v>
      </c>
      <c r="H120" s="678" t="str">
        <f>IF(AND(ISNUMBER(D120),ISNUMBER(G120)),D120*G120,"")</f>
        <v/>
      </c>
      <c r="I120" s="273"/>
      <c r="J120" s="273"/>
      <c r="K120" s="30"/>
    </row>
    <row r="121" spans="1:11" ht="30" customHeight="1" x14ac:dyDescent="0.2">
      <c r="A121" s="279"/>
      <c r="B121" s="255" t="s">
        <v>875</v>
      </c>
      <c r="C121" s="231" t="s">
        <v>864</v>
      </c>
      <c r="D121" s="681"/>
      <c r="E121" s="676"/>
      <c r="F121" s="677"/>
      <c r="G121" s="682"/>
      <c r="H121" s="673"/>
      <c r="I121" s="273"/>
      <c r="J121" s="273"/>
      <c r="K121" s="30"/>
    </row>
    <row r="122" spans="1:11" ht="15" customHeight="1" x14ac:dyDescent="0.2">
      <c r="A122" s="279"/>
      <c r="B122" s="615" t="s">
        <v>856</v>
      </c>
      <c r="C122" s="231" t="s">
        <v>865</v>
      </c>
      <c r="D122" s="681"/>
      <c r="E122" s="676"/>
      <c r="F122" s="677"/>
      <c r="G122" s="682"/>
      <c r="H122" s="673"/>
      <c r="I122" s="273"/>
      <c r="J122" s="273"/>
      <c r="K122" s="30"/>
    </row>
    <row r="123" spans="1:11" ht="15" customHeight="1" x14ac:dyDescent="0.2">
      <c r="A123" s="279"/>
      <c r="B123" s="614" t="s">
        <v>857</v>
      </c>
      <c r="C123" s="231" t="s">
        <v>865</v>
      </c>
      <c r="D123" s="322"/>
      <c r="E123" s="676"/>
      <c r="F123" s="677"/>
      <c r="G123" s="625">
        <v>0.03</v>
      </c>
      <c r="H123" s="678" t="str">
        <f>IF(AND(ISNUMBER(D123),ISNUMBER(G123)),D123*G123,"")</f>
        <v/>
      </c>
      <c r="I123" s="273"/>
      <c r="J123" s="273"/>
      <c r="K123" s="30"/>
    </row>
    <row r="124" spans="1:11" ht="15" customHeight="1" x14ac:dyDescent="0.2">
      <c r="A124" s="279"/>
      <c r="B124" s="614" t="s">
        <v>858</v>
      </c>
      <c r="C124" s="231" t="s">
        <v>865</v>
      </c>
      <c r="D124" s="322"/>
      <c r="E124" s="676"/>
      <c r="F124" s="677"/>
      <c r="G124" s="625">
        <v>0.03</v>
      </c>
      <c r="H124" s="678" t="str">
        <f>IF(AND(ISNUMBER(D124),ISNUMBER(G124)),D124*G124,"")</f>
        <v/>
      </c>
      <c r="I124" s="273"/>
      <c r="J124" s="273"/>
      <c r="K124" s="30"/>
    </row>
    <row r="125" spans="1:11" ht="15" customHeight="1" x14ac:dyDescent="0.2">
      <c r="A125" s="279"/>
      <c r="B125" s="615" t="s">
        <v>859</v>
      </c>
      <c r="C125" s="231" t="s">
        <v>866</v>
      </c>
      <c r="D125" s="681"/>
      <c r="E125" s="676"/>
      <c r="F125" s="677"/>
      <c r="G125" s="682"/>
      <c r="H125" s="673"/>
      <c r="I125" s="273"/>
      <c r="J125" s="273"/>
      <c r="K125" s="30"/>
    </row>
    <row r="126" spans="1:11" ht="15" customHeight="1" x14ac:dyDescent="0.2">
      <c r="A126" s="279"/>
      <c r="B126" s="614" t="s">
        <v>857</v>
      </c>
      <c r="C126" s="231" t="s">
        <v>866</v>
      </c>
      <c r="D126" s="648"/>
      <c r="E126" s="676"/>
      <c r="F126" s="677"/>
      <c r="G126" s="625">
        <v>0.05</v>
      </c>
      <c r="H126" s="678" t="str">
        <f>IF(AND(ISNUMBER(D126),ISNUMBER(G126)),D126*G126,"")</f>
        <v/>
      </c>
      <c r="I126" s="273"/>
      <c r="J126" s="273"/>
      <c r="K126" s="30"/>
    </row>
    <row r="127" spans="1:11" ht="15" customHeight="1" x14ac:dyDescent="0.2">
      <c r="A127" s="279"/>
      <c r="B127" s="614" t="s">
        <v>858</v>
      </c>
      <c r="C127" s="231" t="s">
        <v>866</v>
      </c>
      <c r="D127" s="648"/>
      <c r="E127" s="676"/>
      <c r="F127" s="677"/>
      <c r="G127" s="625">
        <v>0.05</v>
      </c>
      <c r="H127" s="678" t="str">
        <f>IF(AND(ISNUMBER(D127),ISNUMBER(G127)),D127*G127,"")</f>
        <v/>
      </c>
      <c r="I127" s="273"/>
      <c r="J127" s="273"/>
      <c r="K127" s="30"/>
    </row>
    <row r="128" spans="1:11" ht="15" customHeight="1" x14ac:dyDescent="0.2">
      <c r="A128" s="279"/>
      <c r="B128" s="255" t="s">
        <v>709</v>
      </c>
      <c r="C128" s="231" t="s">
        <v>867</v>
      </c>
      <c r="D128" s="683"/>
      <c r="E128" s="676"/>
      <c r="F128" s="677"/>
      <c r="G128" s="625">
        <v>0.1</v>
      </c>
      <c r="H128" s="678" t="str">
        <f>IF(AND(ISNUMBER(D128),ISNUMBER(G128)),D128*G128,"")</f>
        <v/>
      </c>
      <c r="I128" s="273"/>
      <c r="J128" s="273"/>
      <c r="K128" s="30"/>
    </row>
    <row r="129" spans="1:11" ht="15" customHeight="1" x14ac:dyDescent="0.2">
      <c r="A129" s="279"/>
      <c r="B129" s="254" t="s">
        <v>710</v>
      </c>
      <c r="C129" s="231" t="s">
        <v>867</v>
      </c>
      <c r="D129" s="683"/>
      <c r="E129" s="676"/>
      <c r="F129" s="677"/>
      <c r="G129" s="625">
        <v>0.1</v>
      </c>
      <c r="H129" s="678" t="str">
        <f>IF(AND(ISNUMBER(D129),ISNUMBER(G129)),D129*G129,"")</f>
        <v/>
      </c>
      <c r="I129" s="273"/>
      <c r="J129" s="273"/>
      <c r="K129" s="30"/>
    </row>
    <row r="130" spans="1:11" ht="15" customHeight="1" x14ac:dyDescent="0.2">
      <c r="A130" s="279"/>
      <c r="B130" s="254" t="s">
        <v>711</v>
      </c>
      <c r="C130" s="231" t="s">
        <v>867</v>
      </c>
      <c r="D130" s="686"/>
      <c r="E130" s="676"/>
      <c r="F130" s="677"/>
      <c r="G130" s="686"/>
      <c r="H130" s="686"/>
      <c r="I130" s="273"/>
      <c r="J130" s="273"/>
      <c r="K130" s="30"/>
    </row>
    <row r="131" spans="1:11" ht="15" customHeight="1" x14ac:dyDescent="0.2">
      <c r="A131" s="279"/>
      <c r="B131" s="644" t="str">
        <f>Parameters!A51</f>
        <v>Category 1</v>
      </c>
      <c r="C131" s="237"/>
      <c r="D131" s="322"/>
      <c r="E131" s="676"/>
      <c r="F131" s="677"/>
      <c r="G131" s="625">
        <f>Parameters!F51</f>
        <v>0</v>
      </c>
      <c r="H131" s="678" t="str">
        <f>IF(AND(ISNUMBER(D131),ISNUMBER(G131)),D131*G131,"")</f>
        <v/>
      </c>
      <c r="I131" s="273"/>
      <c r="J131" s="273"/>
      <c r="K131" s="30"/>
    </row>
    <row r="132" spans="1:11" ht="15" customHeight="1" x14ac:dyDescent="0.2">
      <c r="A132" s="279"/>
      <c r="B132" s="644" t="str">
        <f>Parameters!A52</f>
        <v>Category 2</v>
      </c>
      <c r="C132" s="237"/>
      <c r="D132" s="322"/>
      <c r="E132" s="676"/>
      <c r="F132" s="677"/>
      <c r="G132" s="625">
        <f>Parameters!F52</f>
        <v>0</v>
      </c>
      <c r="H132" s="678" t="str">
        <f>IF(AND(ISNUMBER(D132),ISNUMBER(G132)),D132*G132,"")</f>
        <v/>
      </c>
      <c r="I132" s="273"/>
      <c r="J132" s="273"/>
      <c r="K132" s="30"/>
    </row>
    <row r="133" spans="1:11" ht="15" customHeight="1" x14ac:dyDescent="0.2">
      <c r="A133" s="279"/>
      <c r="B133" s="644" t="str">
        <f>Parameters!A53</f>
        <v>Category 3</v>
      </c>
      <c r="C133" s="237"/>
      <c r="D133" s="322"/>
      <c r="E133" s="676"/>
      <c r="F133" s="677"/>
      <c r="G133" s="625">
        <f>Parameters!F53</f>
        <v>0</v>
      </c>
      <c r="H133" s="678" t="str">
        <f>IF(AND(ISNUMBER(D133),ISNUMBER(G133)),D133*G133,"")</f>
        <v/>
      </c>
      <c r="I133" s="273"/>
      <c r="J133" s="273"/>
      <c r="K133" s="30"/>
    </row>
    <row r="134" spans="1:11" ht="15" customHeight="1" x14ac:dyDescent="0.2">
      <c r="A134" s="279"/>
      <c r="B134" s="254" t="s">
        <v>876</v>
      </c>
      <c r="C134" s="231" t="s">
        <v>868</v>
      </c>
      <c r="D134" s="686"/>
      <c r="E134" s="676"/>
      <c r="F134" s="677"/>
      <c r="G134" s="686"/>
      <c r="H134" s="686"/>
      <c r="I134" s="273"/>
      <c r="J134" s="273"/>
      <c r="K134" s="30"/>
    </row>
    <row r="135" spans="1:11" ht="15" customHeight="1" x14ac:dyDescent="0.2">
      <c r="A135" s="279"/>
      <c r="B135" s="255" t="s">
        <v>715</v>
      </c>
      <c r="C135" s="231" t="s">
        <v>869</v>
      </c>
      <c r="D135" s="322"/>
      <c r="E135" s="676"/>
      <c r="F135" s="677"/>
      <c r="G135" s="625">
        <f>Parameters!F54</f>
        <v>0</v>
      </c>
      <c r="H135" s="678" t="str">
        <f>IF(AND(ISNUMBER(D135),ISNUMBER(G135)),D135*G135,"")</f>
        <v/>
      </c>
      <c r="I135" s="273"/>
      <c r="J135" s="273"/>
      <c r="K135" s="30"/>
    </row>
    <row r="136" spans="1:11" ht="15" customHeight="1" x14ac:dyDescent="0.2">
      <c r="A136" s="279"/>
      <c r="B136" s="255" t="s">
        <v>30</v>
      </c>
      <c r="C136" s="231" t="s">
        <v>870</v>
      </c>
      <c r="D136" s="683"/>
      <c r="E136" s="676"/>
      <c r="F136" s="677"/>
      <c r="G136" s="625">
        <v>0</v>
      </c>
      <c r="H136" s="678" t="str">
        <f>IF(AND(ISNUMBER(D136),ISNUMBER(G136)),D136*G136,"")</f>
        <v/>
      </c>
      <c r="I136" s="273"/>
      <c r="J136" s="273"/>
      <c r="K136" s="30"/>
    </row>
    <row r="137" spans="1:11" ht="15" customHeight="1" x14ac:dyDescent="0.2">
      <c r="A137" s="279"/>
      <c r="B137" s="251" t="s">
        <v>720</v>
      </c>
      <c r="C137" s="231" t="s">
        <v>871</v>
      </c>
      <c r="D137" s="686"/>
      <c r="E137" s="676"/>
      <c r="F137" s="677"/>
      <c r="G137" s="686"/>
      <c r="H137" s="674"/>
      <c r="I137" s="273"/>
      <c r="J137" s="273"/>
      <c r="K137" s="30"/>
    </row>
    <row r="138" spans="1:11" ht="15" customHeight="1" x14ac:dyDescent="0.2">
      <c r="A138" s="279"/>
      <c r="B138" s="254" t="s">
        <v>721</v>
      </c>
      <c r="C138" s="231" t="s">
        <v>871</v>
      </c>
      <c r="D138" s="686"/>
      <c r="E138" s="676"/>
      <c r="F138" s="677"/>
      <c r="G138" s="686"/>
      <c r="H138" s="674"/>
      <c r="I138" s="273"/>
      <c r="J138" s="273"/>
      <c r="K138" s="30"/>
    </row>
    <row r="139" spans="1:11" ht="15" customHeight="1" x14ac:dyDescent="0.2">
      <c r="A139" s="279"/>
      <c r="B139" s="255" t="s">
        <v>1016</v>
      </c>
      <c r="C139" s="231">
        <v>104</v>
      </c>
      <c r="D139" s="322"/>
      <c r="E139" s="676"/>
      <c r="F139" s="677"/>
      <c r="G139" s="625">
        <v>0.03</v>
      </c>
      <c r="H139" s="678" t="str">
        <f>IF(AND(ISNUMBER(D139),ISNUMBER(G139)),D139*G139,"")</f>
        <v/>
      </c>
      <c r="I139" s="273"/>
      <c r="J139" s="273"/>
      <c r="K139" s="30"/>
    </row>
    <row r="140" spans="1:11" ht="15" customHeight="1" x14ac:dyDescent="0.2">
      <c r="A140" s="279"/>
      <c r="B140" s="255" t="s">
        <v>1017</v>
      </c>
      <c r="C140" s="231">
        <v>104</v>
      </c>
      <c r="D140" s="683"/>
      <c r="E140" s="676"/>
      <c r="F140" s="677"/>
      <c r="G140" s="625">
        <v>0.05</v>
      </c>
      <c r="H140" s="678" t="str">
        <f>IF(AND(ISNUMBER(D140),ISNUMBER(G140)),D140*G140,"")</f>
        <v/>
      </c>
      <c r="I140" s="273"/>
      <c r="J140" s="273"/>
      <c r="K140" s="30"/>
    </row>
    <row r="141" spans="1:11" ht="15" customHeight="1" x14ac:dyDescent="0.2">
      <c r="A141" s="279"/>
      <c r="B141" s="255" t="s">
        <v>722</v>
      </c>
      <c r="C141" s="231" t="s">
        <v>872</v>
      </c>
      <c r="D141" s="683"/>
      <c r="E141" s="676"/>
      <c r="F141" s="677"/>
      <c r="G141" s="625">
        <v>0.25</v>
      </c>
      <c r="H141" s="678" t="str">
        <f>IF(AND(ISNUMBER(D141),ISNUMBER(G141)),D141*G141,"")</f>
        <v/>
      </c>
      <c r="I141" s="273"/>
      <c r="J141" s="273"/>
      <c r="K141" s="30"/>
    </row>
    <row r="142" spans="1:11" ht="15" customHeight="1" x14ac:dyDescent="0.2">
      <c r="A142" s="279"/>
      <c r="B142" s="254" t="s">
        <v>351</v>
      </c>
      <c r="C142" s="231" t="s">
        <v>871</v>
      </c>
      <c r="D142" s="686"/>
      <c r="E142" s="676"/>
      <c r="F142" s="677"/>
      <c r="G142" s="679"/>
      <c r="H142" s="679"/>
      <c r="I142" s="273"/>
      <c r="J142" s="273"/>
      <c r="K142" s="30"/>
    </row>
    <row r="143" spans="1:11" ht="15" customHeight="1" x14ac:dyDescent="0.2">
      <c r="A143" s="279"/>
      <c r="B143" s="255" t="s">
        <v>1016</v>
      </c>
      <c r="C143" s="231">
        <v>104</v>
      </c>
      <c r="D143" s="322"/>
      <c r="E143" s="676"/>
      <c r="F143" s="677"/>
      <c r="G143" s="625">
        <v>0.03</v>
      </c>
      <c r="H143" s="678" t="str">
        <f>IF(AND(ISNUMBER(D143),ISNUMBER(G143)),D143*G143,"")</f>
        <v/>
      </c>
      <c r="I143" s="273"/>
      <c r="J143" s="273"/>
      <c r="K143" s="30"/>
    </row>
    <row r="144" spans="1:11" ht="15" customHeight="1" x14ac:dyDescent="0.2">
      <c r="A144" s="279"/>
      <c r="B144" s="255" t="s">
        <v>1017</v>
      </c>
      <c r="C144" s="231">
        <v>104</v>
      </c>
      <c r="D144" s="683"/>
      <c r="E144" s="676"/>
      <c r="F144" s="677"/>
      <c r="G144" s="625">
        <v>0.05</v>
      </c>
      <c r="H144" s="678" t="str">
        <f>IF(AND(ISNUMBER(D144),ISNUMBER(G144)),D144*G144,"")</f>
        <v/>
      </c>
      <c r="I144" s="273"/>
      <c r="J144" s="273"/>
      <c r="K144" s="30"/>
    </row>
    <row r="145" spans="1:11" ht="15" customHeight="1" x14ac:dyDescent="0.2">
      <c r="A145" s="279"/>
      <c r="B145" s="255" t="s">
        <v>722</v>
      </c>
      <c r="C145" s="231" t="s">
        <v>872</v>
      </c>
      <c r="D145" s="683"/>
      <c r="E145" s="676"/>
      <c r="F145" s="677"/>
      <c r="G145" s="625">
        <v>0.25</v>
      </c>
      <c r="H145" s="678" t="str">
        <f>IF(AND(ISNUMBER(D145),ISNUMBER(G145)),D145*G145,"")</f>
        <v/>
      </c>
      <c r="I145" s="273"/>
      <c r="J145" s="273"/>
      <c r="K145" s="30"/>
    </row>
    <row r="146" spans="1:11" ht="15" customHeight="1" x14ac:dyDescent="0.2">
      <c r="A146" s="279"/>
      <c r="B146" s="254" t="s">
        <v>723</v>
      </c>
      <c r="C146" s="231" t="s">
        <v>871</v>
      </c>
      <c r="D146" s="686"/>
      <c r="E146" s="676"/>
      <c r="F146" s="677"/>
      <c r="G146" s="679"/>
      <c r="H146" s="679"/>
      <c r="I146" s="273"/>
      <c r="J146" s="273"/>
      <c r="K146" s="30"/>
    </row>
    <row r="147" spans="1:11" ht="15" customHeight="1" x14ac:dyDescent="0.2">
      <c r="A147" s="279"/>
      <c r="B147" s="255" t="s">
        <v>1016</v>
      </c>
      <c r="C147" s="231">
        <v>104</v>
      </c>
      <c r="D147" s="322"/>
      <c r="E147" s="676"/>
      <c r="F147" s="677"/>
      <c r="G147" s="625">
        <v>0.03</v>
      </c>
      <c r="H147" s="678" t="str">
        <f>IF(AND(ISNUMBER(D147),ISNUMBER(G147)),D147*G147,"")</f>
        <v/>
      </c>
      <c r="I147" s="273"/>
      <c r="J147" s="273"/>
      <c r="K147" s="30"/>
    </row>
    <row r="148" spans="1:11" ht="15" customHeight="1" x14ac:dyDescent="0.2">
      <c r="A148" s="279"/>
      <c r="B148" s="255" t="s">
        <v>1017</v>
      </c>
      <c r="C148" s="231">
        <v>104</v>
      </c>
      <c r="D148" s="683"/>
      <c r="E148" s="676"/>
      <c r="F148" s="677"/>
      <c r="G148" s="625">
        <v>0.05</v>
      </c>
      <c r="H148" s="678" t="str">
        <f>IF(AND(ISNUMBER(D148),ISNUMBER(G148)),D148*G148,"")</f>
        <v/>
      </c>
      <c r="I148" s="273"/>
      <c r="J148" s="273"/>
      <c r="K148" s="30"/>
    </row>
    <row r="149" spans="1:11" ht="15" customHeight="1" x14ac:dyDescent="0.2">
      <c r="A149" s="279"/>
      <c r="B149" s="255" t="s">
        <v>722</v>
      </c>
      <c r="C149" s="231" t="s">
        <v>872</v>
      </c>
      <c r="D149" s="683"/>
      <c r="E149" s="676"/>
      <c r="F149" s="677"/>
      <c r="G149" s="625">
        <v>0.25</v>
      </c>
      <c r="H149" s="678" t="str">
        <f>IF(AND(ISNUMBER(D149),ISNUMBER(G149)),D149*G149,"")</f>
        <v/>
      </c>
      <c r="I149" s="273"/>
      <c r="J149" s="273"/>
      <c r="K149" s="30"/>
    </row>
    <row r="150" spans="1:11" ht="15" customHeight="1" x14ac:dyDescent="0.2">
      <c r="A150" s="279"/>
      <c r="B150" s="254" t="s">
        <v>238</v>
      </c>
      <c r="C150" s="231" t="s">
        <v>871</v>
      </c>
      <c r="D150" s="686"/>
      <c r="E150" s="676"/>
      <c r="F150" s="677"/>
      <c r="G150" s="679"/>
      <c r="H150" s="679"/>
      <c r="I150" s="273"/>
      <c r="J150" s="273"/>
      <c r="K150" s="30"/>
    </row>
    <row r="151" spans="1:11" ht="15" customHeight="1" x14ac:dyDescent="0.2">
      <c r="A151" s="279"/>
      <c r="B151" s="255" t="s">
        <v>1016</v>
      </c>
      <c r="C151" s="231">
        <v>104</v>
      </c>
      <c r="D151" s="322"/>
      <c r="E151" s="676"/>
      <c r="F151" s="677"/>
      <c r="G151" s="625">
        <v>0.03</v>
      </c>
      <c r="H151" s="678" t="str">
        <f>IF(AND(ISNUMBER(D151),ISNUMBER(G151)),D151*G151,"")</f>
        <v/>
      </c>
      <c r="I151" s="273"/>
      <c r="J151" s="273"/>
      <c r="K151" s="30"/>
    </row>
    <row r="152" spans="1:11" ht="15" customHeight="1" x14ac:dyDescent="0.2">
      <c r="A152" s="279"/>
      <c r="B152" s="255" t="s">
        <v>1017</v>
      </c>
      <c r="C152" s="231">
        <v>104</v>
      </c>
      <c r="D152" s="683"/>
      <c r="E152" s="676"/>
      <c r="F152" s="677"/>
      <c r="G152" s="625">
        <v>0.05</v>
      </c>
      <c r="H152" s="678" t="str">
        <f>IF(AND(ISNUMBER(D152),ISNUMBER(G152)),D152*G152,"")</f>
        <v/>
      </c>
      <c r="I152" s="273"/>
      <c r="J152" s="273"/>
      <c r="K152" s="30"/>
    </row>
    <row r="153" spans="1:11" ht="15" customHeight="1" x14ac:dyDescent="0.2">
      <c r="A153" s="279"/>
      <c r="B153" s="255" t="s">
        <v>722</v>
      </c>
      <c r="C153" s="231" t="s">
        <v>872</v>
      </c>
      <c r="D153" s="683"/>
      <c r="E153" s="676"/>
      <c r="F153" s="677"/>
      <c r="G153" s="625">
        <v>0.25</v>
      </c>
      <c r="H153" s="678" t="str">
        <f>IF(AND(ISNUMBER(D153),ISNUMBER(G153)),D153*G153,"")</f>
        <v/>
      </c>
      <c r="I153" s="273"/>
      <c r="J153" s="273"/>
      <c r="K153" s="30"/>
    </row>
    <row r="154" spans="1:11" ht="15" customHeight="1" x14ac:dyDescent="0.2">
      <c r="A154" s="279"/>
      <c r="B154" s="251" t="s">
        <v>237</v>
      </c>
      <c r="C154" s="231" t="s">
        <v>998</v>
      </c>
      <c r="D154" s="686"/>
      <c r="E154" s="676"/>
      <c r="F154" s="677"/>
      <c r="G154" s="686"/>
      <c r="H154" s="686"/>
      <c r="I154" s="273"/>
      <c r="J154" s="273"/>
      <c r="K154" s="30"/>
    </row>
    <row r="155" spans="1:11" ht="15" customHeight="1" x14ac:dyDescent="0.2">
      <c r="A155" s="279"/>
      <c r="B155" s="254" t="s">
        <v>877</v>
      </c>
      <c r="C155" s="231" t="s">
        <v>873</v>
      </c>
      <c r="D155" s="686"/>
      <c r="E155" s="676"/>
      <c r="F155" s="677"/>
      <c r="G155" s="686"/>
      <c r="H155" s="686"/>
      <c r="I155" s="273"/>
      <c r="J155" s="273"/>
      <c r="K155" s="30"/>
    </row>
    <row r="156" spans="1:11" ht="15" customHeight="1" x14ac:dyDescent="0.2">
      <c r="A156" s="279"/>
      <c r="B156" s="255" t="s">
        <v>878</v>
      </c>
      <c r="C156" s="231">
        <v>108</v>
      </c>
      <c r="D156" s="683"/>
      <c r="E156" s="676"/>
      <c r="F156" s="677"/>
      <c r="G156" s="625">
        <v>0.2</v>
      </c>
      <c r="H156" s="678" t="str">
        <f>IF(AND(ISNUMBER(D156),ISNUMBER(G156)),D156*G156,"")</f>
        <v/>
      </c>
      <c r="I156" s="273"/>
      <c r="J156" s="273"/>
      <c r="K156" s="30"/>
    </row>
    <row r="157" spans="1:11" ht="15" customHeight="1" x14ac:dyDescent="0.2">
      <c r="A157" s="279"/>
      <c r="B157" s="255" t="s">
        <v>879</v>
      </c>
      <c r="C157" s="231">
        <v>107</v>
      </c>
      <c r="D157" s="683"/>
      <c r="E157" s="676"/>
      <c r="F157" s="677"/>
      <c r="G157" s="625">
        <v>0.4</v>
      </c>
      <c r="H157" s="678" t="str">
        <f>IF(AND(ISNUMBER(D157),ISNUMBER(G157)),D157*G157,"")</f>
        <v/>
      </c>
      <c r="I157" s="273"/>
      <c r="J157" s="273"/>
      <c r="K157" s="30"/>
    </row>
    <row r="158" spans="1:11" ht="15" customHeight="1" x14ac:dyDescent="0.2">
      <c r="A158" s="279"/>
      <c r="B158" s="254" t="s">
        <v>880</v>
      </c>
      <c r="C158" s="231" t="s">
        <v>873</v>
      </c>
      <c r="D158" s="686"/>
      <c r="E158" s="676"/>
      <c r="F158" s="677"/>
      <c r="G158" s="686"/>
      <c r="H158" s="686"/>
      <c r="I158" s="273"/>
      <c r="J158" s="273"/>
      <c r="K158" s="30"/>
    </row>
    <row r="159" spans="1:11" ht="15" customHeight="1" x14ac:dyDescent="0.2">
      <c r="A159" s="279"/>
      <c r="B159" s="255" t="s">
        <v>878</v>
      </c>
      <c r="C159" s="231">
        <v>108</v>
      </c>
      <c r="D159" s="683"/>
      <c r="E159" s="676"/>
      <c r="F159" s="677"/>
      <c r="G159" s="625">
        <v>0.2</v>
      </c>
      <c r="H159" s="678" t="str">
        <f t="shared" ref="H159:H165" si="1">IF(AND(ISNUMBER(D159),ISNUMBER(G159)),D159*G159,"")</f>
        <v/>
      </c>
      <c r="I159" s="273"/>
      <c r="J159" s="273"/>
      <c r="K159" s="30"/>
    </row>
    <row r="160" spans="1:11" ht="15" customHeight="1" x14ac:dyDescent="0.2">
      <c r="A160" s="279"/>
      <c r="B160" s="255" t="s">
        <v>879</v>
      </c>
      <c r="C160" s="231">
        <v>107</v>
      </c>
      <c r="D160" s="683"/>
      <c r="E160" s="676"/>
      <c r="F160" s="677"/>
      <c r="G160" s="625">
        <v>0.4</v>
      </c>
      <c r="H160" s="678" t="str">
        <f t="shared" si="1"/>
        <v/>
      </c>
      <c r="I160" s="273"/>
      <c r="J160" s="273"/>
      <c r="K160" s="30"/>
    </row>
    <row r="161" spans="1:21" ht="15" customHeight="1" x14ac:dyDescent="0.2">
      <c r="A161" s="279"/>
      <c r="B161" s="254" t="s">
        <v>698</v>
      </c>
      <c r="C161" s="231">
        <v>105</v>
      </c>
      <c r="D161" s="683"/>
      <c r="E161" s="676"/>
      <c r="F161" s="677"/>
      <c r="G161" s="625">
        <v>0.25</v>
      </c>
      <c r="H161" s="678" t="str">
        <f t="shared" si="1"/>
        <v/>
      </c>
      <c r="I161" s="273"/>
      <c r="J161" s="273"/>
      <c r="K161" s="30"/>
    </row>
    <row r="162" spans="1:21" ht="15" customHeight="1" x14ac:dyDescent="0.2">
      <c r="A162" s="279"/>
      <c r="B162" s="254" t="s">
        <v>774</v>
      </c>
      <c r="C162" s="231">
        <v>109</v>
      </c>
      <c r="D162" s="683"/>
      <c r="E162" s="676"/>
      <c r="F162" s="677"/>
      <c r="G162" s="625">
        <v>1</v>
      </c>
      <c r="H162" s="678" t="str">
        <f t="shared" si="1"/>
        <v/>
      </c>
      <c r="I162" s="273"/>
      <c r="J162" s="273"/>
      <c r="K162" s="30"/>
    </row>
    <row r="163" spans="1:21" ht="15" customHeight="1" x14ac:dyDescent="0.2">
      <c r="A163" s="279"/>
      <c r="B163" s="254" t="s">
        <v>238</v>
      </c>
      <c r="C163" s="231">
        <v>109</v>
      </c>
      <c r="D163" s="683"/>
      <c r="E163" s="676"/>
      <c r="F163" s="677"/>
      <c r="G163" s="625">
        <v>1</v>
      </c>
      <c r="H163" s="678" t="str">
        <f t="shared" si="1"/>
        <v/>
      </c>
      <c r="I163" s="273"/>
      <c r="J163" s="273"/>
      <c r="K163" s="30"/>
    </row>
    <row r="164" spans="1:21" ht="15" customHeight="1" x14ac:dyDescent="0.2">
      <c r="A164" s="279"/>
      <c r="B164" s="251" t="s">
        <v>525</v>
      </c>
      <c r="C164" s="231">
        <v>110</v>
      </c>
      <c r="D164" s="683"/>
      <c r="E164" s="676"/>
      <c r="F164" s="677"/>
      <c r="G164" s="625">
        <v>1</v>
      </c>
      <c r="H164" s="678" t="str">
        <f t="shared" si="1"/>
        <v/>
      </c>
      <c r="I164" s="273"/>
      <c r="J164" s="273"/>
      <c r="K164" s="30"/>
    </row>
    <row r="165" spans="1:21" ht="15" customHeight="1" x14ac:dyDescent="0.2">
      <c r="A165" s="279"/>
      <c r="B165" s="251" t="s">
        <v>775</v>
      </c>
      <c r="C165" s="647"/>
      <c r="D165" s="683"/>
      <c r="E165" s="676"/>
      <c r="F165" s="677"/>
      <c r="G165" s="625">
        <v>1</v>
      </c>
      <c r="H165" s="678" t="str">
        <f t="shared" si="1"/>
        <v/>
      </c>
      <c r="I165" s="273"/>
      <c r="J165" s="273"/>
      <c r="K165" s="30"/>
    </row>
    <row r="166" spans="1:21" ht="15" customHeight="1" x14ac:dyDescent="0.2">
      <c r="A166" s="279"/>
      <c r="B166" s="253" t="s">
        <v>776</v>
      </c>
      <c r="C166" s="647"/>
      <c r="D166" s="670"/>
      <c r="E166" s="676"/>
      <c r="F166" s="677"/>
      <c r="G166" s="679"/>
      <c r="H166" s="680" t="str">
        <f>IF(AND(ISNUMBER(H119),ISNUMBER(H120),ISNUMBER(H126),ISNUMBER(H127),ISNUMBER(H128), ISNUMBER(H129), ISNUMBER(H136), ISNUMBER(H140), ISNUMBER(H141), ISNUMBER(H144), ISNUMBER(H145), ISNUMBER(H148), ISNUMBER(H149),ISNUMBER(H152),ISNUMBER(H153), ISNUMBER(H156), ISNUMBER(H157), ISNUMBER(H159), ISNUMBER(H160), ISNUMBER(H161), ISNUMBER(H162), ISNUMBER(H163), ISNUMBER(H164), ISNUMBER(H165)),SUM(H116:H117,H119:H120,H123:H124,H126:H129,H131:H133,H135:H136,H139:H141,H143:H145,H147:H149,H151:H153,H156:H157,H159:H165),"")</f>
        <v/>
      </c>
      <c r="I166" s="273"/>
      <c r="J166" s="273"/>
      <c r="K166" s="30"/>
    </row>
    <row r="167" spans="1:21" ht="15" customHeight="1" x14ac:dyDescent="0.2">
      <c r="A167" s="439"/>
      <c r="B167" s="440"/>
      <c r="C167" s="234"/>
      <c r="D167" s="234"/>
      <c r="E167" s="234"/>
      <c r="F167" s="234"/>
      <c r="G167" s="234"/>
      <c r="H167" s="234"/>
      <c r="I167" s="273"/>
      <c r="J167" s="273"/>
      <c r="K167" s="30"/>
    </row>
    <row r="168" spans="1:21" ht="30" customHeight="1" x14ac:dyDescent="0.2">
      <c r="A168" s="439"/>
      <c r="B168" s="233" t="s">
        <v>999</v>
      </c>
      <c r="C168" s="237"/>
      <c r="D168" s="318"/>
      <c r="E168" s="318"/>
      <c r="F168" s="319"/>
      <c r="G168" s="645"/>
      <c r="H168" s="645"/>
      <c r="I168" s="273"/>
      <c r="J168" s="273"/>
      <c r="K168" s="30"/>
    </row>
    <row r="169" spans="1:21" ht="15" customHeight="1" x14ac:dyDescent="0.2">
      <c r="A169" s="439"/>
      <c r="B169" s="251" t="s">
        <v>332</v>
      </c>
      <c r="C169" s="231" t="s">
        <v>1000</v>
      </c>
      <c r="D169" s="310"/>
      <c r="E169" s="318"/>
      <c r="F169" s="319"/>
      <c r="G169" s="645"/>
      <c r="H169" s="645"/>
      <c r="I169" s="273"/>
      <c r="J169" s="273"/>
      <c r="K169" s="30"/>
    </row>
    <row r="170" spans="1:21" ht="15" customHeight="1" x14ac:dyDescent="0.2">
      <c r="A170" s="439"/>
      <c r="B170" s="437" t="str">
        <f>CONCATENATE("Check: row ", ROW(B169), " ≤ sum of rows ", ROW(B162), " and ", ROW(B163))</f>
        <v>Check: row 169 ≤ sum of rows 162 and 163</v>
      </c>
      <c r="C170" s="237"/>
      <c r="D170" s="495" t="str">
        <f>IF((D169&lt;=D162+D163),"Pass","Fail")</f>
        <v>Pass</v>
      </c>
      <c r="E170" s="318"/>
      <c r="F170" s="319"/>
      <c r="G170" s="645"/>
      <c r="H170" s="645"/>
      <c r="I170" s="273"/>
      <c r="J170" s="273"/>
      <c r="K170" s="30"/>
    </row>
    <row r="171" spans="1:21" ht="15" customHeight="1" x14ac:dyDescent="0.2">
      <c r="A171" s="439"/>
      <c r="B171" s="251" t="s">
        <v>330</v>
      </c>
      <c r="C171" s="231" t="s">
        <v>1000</v>
      </c>
      <c r="D171" s="310"/>
      <c r="E171" s="318"/>
      <c r="F171" s="319"/>
      <c r="G171" s="645"/>
      <c r="H171" s="645"/>
      <c r="I171" s="273"/>
      <c r="J171" s="273"/>
      <c r="K171" s="30"/>
    </row>
    <row r="172" spans="1:21" ht="15" customHeight="1" x14ac:dyDescent="0.2">
      <c r="A172" s="439"/>
      <c r="B172" s="437" t="str">
        <f>CONCATENATE("Check: row ", ROW(B171), " ≤ sum of rows ", ROW(B162), " and ", ROW(B163))</f>
        <v>Check: row 171 ≤ sum of rows 162 and 163</v>
      </c>
      <c r="C172" s="237"/>
      <c r="D172" s="495" t="str">
        <f>IF((D171&lt;=D162+D163),"Pass","Fail")</f>
        <v>Pass</v>
      </c>
      <c r="E172" s="318"/>
      <c r="F172" s="319"/>
      <c r="G172" s="645"/>
      <c r="H172" s="645"/>
      <c r="I172" s="273"/>
      <c r="J172" s="273"/>
      <c r="K172" s="30"/>
    </row>
    <row r="173" spans="1:21" ht="30" customHeight="1" x14ac:dyDescent="0.2">
      <c r="A173" s="439"/>
      <c r="B173" s="251" t="s">
        <v>881</v>
      </c>
      <c r="C173" s="231">
        <v>96</v>
      </c>
      <c r="D173" s="310"/>
      <c r="E173" s="318"/>
      <c r="F173" s="319"/>
      <c r="G173" s="645"/>
      <c r="H173" s="645"/>
      <c r="I173" s="273"/>
      <c r="J173" s="273"/>
      <c r="K173" s="30"/>
    </row>
    <row r="174" spans="1:21" ht="15" customHeight="1" x14ac:dyDescent="0.2">
      <c r="A174" s="439"/>
      <c r="B174" s="437" t="str">
        <f>CONCATENATE("Check: row ", ROW(B173), " ≤ sum of rows ", ROW(B155), " to ", ROW(B163))</f>
        <v>Check: row 173 ≤ sum of rows 155 to 163</v>
      </c>
      <c r="C174" s="237"/>
      <c r="D174" s="495" t="str">
        <f>IF((D173&lt;=SUM(D155:D163)),"Pass","Fail")</f>
        <v>Pass</v>
      </c>
      <c r="E174" s="318"/>
      <c r="F174" s="319"/>
      <c r="G174" s="645"/>
      <c r="H174" s="645"/>
      <c r="I174" s="273"/>
      <c r="J174" s="273"/>
      <c r="K174" s="30"/>
    </row>
    <row r="175" spans="1:21" s="267" customFormat="1" ht="45" customHeight="1" x14ac:dyDescent="0.25">
      <c r="A175" s="81" t="s">
        <v>63</v>
      </c>
      <c r="B175" s="81"/>
      <c r="C175" s="271"/>
      <c r="D175" s="271"/>
      <c r="E175" s="272"/>
      <c r="F175" s="273"/>
      <c r="G175" s="273"/>
      <c r="H175" s="273"/>
      <c r="I175" s="273"/>
      <c r="J175" s="273"/>
      <c r="K175" s="30"/>
      <c r="L175" s="273"/>
      <c r="M175" s="273"/>
      <c r="N175" s="273"/>
      <c r="O175" s="273"/>
      <c r="P175" s="273"/>
      <c r="Q175" s="273"/>
      <c r="R175" s="273"/>
      <c r="S175" s="273"/>
      <c r="T175" s="273"/>
      <c r="U175" s="273"/>
    </row>
    <row r="176" spans="1:21" ht="45" customHeight="1" x14ac:dyDescent="0.2">
      <c r="A176" s="279"/>
      <c r="B176" s="238"/>
      <c r="C176" s="281" t="s">
        <v>986</v>
      </c>
      <c r="D176" s="281" t="s">
        <v>777</v>
      </c>
      <c r="E176" s="281" t="s">
        <v>778</v>
      </c>
      <c r="F176" s="646"/>
      <c r="G176" s="281" t="s">
        <v>678</v>
      </c>
      <c r="H176" s="281" t="s">
        <v>679</v>
      </c>
      <c r="I176" s="273"/>
      <c r="J176" s="273"/>
      <c r="K176" s="30"/>
    </row>
    <row r="177" spans="1:11" ht="15" customHeight="1" x14ac:dyDescent="0.2">
      <c r="A177" s="279"/>
      <c r="B177" s="256" t="s">
        <v>1001</v>
      </c>
      <c r="C177" s="231" t="s">
        <v>882</v>
      </c>
      <c r="D177" s="686"/>
      <c r="E177" s="686"/>
      <c r="F177" s="670"/>
      <c r="G177" s="674"/>
      <c r="H177" s="679"/>
      <c r="I177" s="273"/>
      <c r="J177" s="273"/>
      <c r="K177" s="30"/>
    </row>
    <row r="178" spans="1:11" ht="15" customHeight="1" x14ac:dyDescent="0.2">
      <c r="A178" s="279"/>
      <c r="B178" s="494" t="s">
        <v>883</v>
      </c>
      <c r="C178" s="231" t="s">
        <v>882</v>
      </c>
      <c r="D178" s="683"/>
      <c r="E178" s="683"/>
      <c r="F178" s="670"/>
      <c r="G178" s="625">
        <v>0</v>
      </c>
      <c r="H178" s="678" t="str">
        <f>IF(AND(ISNUMBER(D178),ISNUMBER(G178)),D178*G178,"")</f>
        <v/>
      </c>
      <c r="I178" s="273"/>
      <c r="J178" s="273"/>
      <c r="K178" s="30"/>
    </row>
    <row r="179" spans="1:11" ht="15" customHeight="1" x14ac:dyDescent="0.2">
      <c r="A179" s="279"/>
      <c r="B179" s="617" t="s">
        <v>157</v>
      </c>
      <c r="C179" s="231" t="s">
        <v>882</v>
      </c>
      <c r="D179" s="683"/>
      <c r="E179" s="683"/>
      <c r="F179" s="670"/>
      <c r="G179" s="674"/>
      <c r="H179" s="679"/>
      <c r="I179" s="273"/>
      <c r="J179" s="273"/>
      <c r="K179" s="30"/>
    </row>
    <row r="180" spans="1:11" ht="15" customHeight="1" x14ac:dyDescent="0.2">
      <c r="A180" s="279"/>
      <c r="B180" s="471" t="str">
        <f>CONCATENATE("Check: row ", ROW(B179), " ≤ row ", ROW(LCR!B178),)</f>
        <v>Check: row 179 ≤ row 178</v>
      </c>
      <c r="C180" s="237"/>
      <c r="D180" s="495" t="str">
        <f>IF((D179&lt;=D178),"Pass","Fail")</f>
        <v>Pass</v>
      </c>
      <c r="E180" s="495" t="str">
        <f>IF((E179&lt;=E178),"Pass","Fail")</f>
        <v>Pass</v>
      </c>
      <c r="F180" s="670"/>
      <c r="G180" s="674"/>
      <c r="H180" s="679"/>
      <c r="I180" s="273"/>
      <c r="J180" s="273"/>
      <c r="K180" s="30"/>
    </row>
    <row r="181" spans="1:11" ht="15" customHeight="1" x14ac:dyDescent="0.2">
      <c r="A181" s="279"/>
      <c r="B181" s="494" t="s">
        <v>884</v>
      </c>
      <c r="C181" s="231" t="s">
        <v>882</v>
      </c>
      <c r="D181" s="310"/>
      <c r="E181" s="310"/>
      <c r="F181" s="670"/>
      <c r="G181" s="625">
        <v>0</v>
      </c>
      <c r="H181" s="678" t="str">
        <f>IF(AND(ISNUMBER(D181),ISNUMBER(G181)),D181*G181,"")</f>
        <v/>
      </c>
      <c r="I181" s="273"/>
      <c r="J181" s="273"/>
      <c r="K181" s="30"/>
    </row>
    <row r="182" spans="1:11" ht="15" customHeight="1" x14ac:dyDescent="0.2">
      <c r="A182" s="279"/>
      <c r="B182" s="617" t="s">
        <v>157</v>
      </c>
      <c r="C182" s="231" t="s">
        <v>882</v>
      </c>
      <c r="D182" s="310"/>
      <c r="E182" s="310"/>
      <c r="F182" s="670"/>
      <c r="G182" s="674"/>
      <c r="H182" s="679"/>
      <c r="I182" s="273"/>
      <c r="J182" s="273"/>
      <c r="K182" s="30"/>
    </row>
    <row r="183" spans="1:11" ht="15" customHeight="1" x14ac:dyDescent="0.2">
      <c r="A183" s="279"/>
      <c r="B183" s="471" t="str">
        <f>CONCATENATE("Check: row ", ROW(B182), " ≤ row ", ROW(LCR!B181),)</f>
        <v>Check: row 182 ≤ row 181</v>
      </c>
      <c r="C183" s="237"/>
      <c r="D183" s="495" t="str">
        <f>IF((D182&lt;=D181),"Pass","Fail")</f>
        <v>Pass</v>
      </c>
      <c r="E183" s="495" t="str">
        <f>IF((E182&lt;=E181),"Pass","Fail")</f>
        <v>Pass</v>
      </c>
      <c r="F183" s="670"/>
      <c r="G183" s="674"/>
      <c r="H183" s="679"/>
      <c r="I183" s="273"/>
      <c r="J183" s="273"/>
      <c r="K183" s="30"/>
    </row>
    <row r="184" spans="1:11" ht="15" customHeight="1" x14ac:dyDescent="0.2">
      <c r="A184" s="279"/>
      <c r="B184" s="494" t="s">
        <v>885</v>
      </c>
      <c r="C184" s="231" t="s">
        <v>882</v>
      </c>
      <c r="D184" s="322"/>
      <c r="E184" s="322"/>
      <c r="F184" s="670"/>
      <c r="G184" s="625">
        <v>0</v>
      </c>
      <c r="H184" s="678" t="str">
        <f>IF(AND(ISNUMBER(D184),ISNUMBER(G184)),D184*G184,"")</f>
        <v/>
      </c>
      <c r="I184" s="273"/>
      <c r="J184" s="273"/>
      <c r="K184" s="30"/>
    </row>
    <row r="185" spans="1:11" ht="15" customHeight="1" x14ac:dyDescent="0.2">
      <c r="A185" s="279"/>
      <c r="B185" s="617" t="s">
        <v>157</v>
      </c>
      <c r="C185" s="231" t="s">
        <v>882</v>
      </c>
      <c r="D185" s="322"/>
      <c r="E185" s="322"/>
      <c r="F185" s="670"/>
      <c r="G185" s="674"/>
      <c r="H185" s="679"/>
      <c r="I185" s="273"/>
      <c r="J185" s="273"/>
      <c r="K185" s="30"/>
    </row>
    <row r="186" spans="1:11" ht="15" customHeight="1" x14ac:dyDescent="0.2">
      <c r="A186" s="279"/>
      <c r="B186" s="471" t="str">
        <f>CONCATENATE("Check: row ", ROW(B185), " ≤ row ", ROW(LCR!B184),)</f>
        <v>Check: row 185 ≤ row 184</v>
      </c>
      <c r="C186" s="237"/>
      <c r="D186" s="495" t="str">
        <f>IF((D185&lt;=D184),"Pass","Fail")</f>
        <v>Pass</v>
      </c>
      <c r="E186" s="495" t="str">
        <f>IF((E185&lt;=E184),"Pass","Fail")</f>
        <v>Pass</v>
      </c>
      <c r="F186" s="670"/>
      <c r="G186" s="674"/>
      <c r="H186" s="679"/>
      <c r="I186" s="273"/>
      <c r="J186" s="273"/>
      <c r="K186" s="30"/>
    </row>
    <row r="187" spans="1:11" ht="15" customHeight="1" x14ac:dyDescent="0.2">
      <c r="A187" s="279"/>
      <c r="B187" s="494" t="s">
        <v>886</v>
      </c>
      <c r="C187" s="231" t="s">
        <v>882</v>
      </c>
      <c r="D187" s="322"/>
      <c r="E187" s="322"/>
      <c r="F187" s="670"/>
      <c r="G187" s="625">
        <v>0</v>
      </c>
      <c r="H187" s="678" t="str">
        <f>IF(AND(ISNUMBER(D187),ISNUMBER(G187)),D187*G187,"")</f>
        <v/>
      </c>
      <c r="I187" s="273"/>
      <c r="J187" s="273"/>
      <c r="K187" s="30"/>
    </row>
    <row r="188" spans="1:11" ht="15" customHeight="1" x14ac:dyDescent="0.2">
      <c r="A188" s="279"/>
      <c r="B188" s="617" t="s">
        <v>157</v>
      </c>
      <c r="C188" s="231" t="s">
        <v>882</v>
      </c>
      <c r="D188" s="322"/>
      <c r="E188" s="322"/>
      <c r="F188" s="670"/>
      <c r="G188" s="674"/>
      <c r="H188" s="679"/>
      <c r="I188" s="273"/>
      <c r="J188" s="273"/>
      <c r="K188" s="30"/>
    </row>
    <row r="189" spans="1:11" ht="15" customHeight="1" x14ac:dyDescent="0.2">
      <c r="A189" s="279"/>
      <c r="B189" s="471" t="str">
        <f>CONCATENATE("Check: row ", ROW(B188), " ≤ row ", ROW(LCR!B187),)</f>
        <v>Check: row 188 ≤ row 187</v>
      </c>
      <c r="C189" s="237"/>
      <c r="D189" s="495" t="str">
        <f>IF((D188&lt;=D187),"Pass","Fail")</f>
        <v>Pass</v>
      </c>
      <c r="E189" s="495" t="str">
        <f>IF((E188&lt;=E187),"Pass","Fail")</f>
        <v>Pass</v>
      </c>
      <c r="F189" s="670"/>
      <c r="G189" s="674"/>
      <c r="H189" s="679"/>
      <c r="I189" s="273"/>
      <c r="J189" s="273"/>
      <c r="K189" s="30"/>
    </row>
    <row r="190" spans="1:11" ht="15" customHeight="1" x14ac:dyDescent="0.2">
      <c r="A190" s="279"/>
      <c r="B190" s="494" t="s">
        <v>887</v>
      </c>
      <c r="C190" s="231" t="s">
        <v>882</v>
      </c>
      <c r="D190" s="310"/>
      <c r="E190" s="310"/>
      <c r="F190" s="670"/>
      <c r="G190" s="625">
        <v>0</v>
      </c>
      <c r="H190" s="678" t="str">
        <f>IF(AND(ISNUMBER(D190),ISNUMBER(G190)),D190*G190,"")</f>
        <v/>
      </c>
      <c r="I190" s="273"/>
      <c r="J190" s="273"/>
      <c r="K190" s="30"/>
    </row>
    <row r="191" spans="1:11" ht="15" customHeight="1" x14ac:dyDescent="0.2">
      <c r="A191" s="279"/>
      <c r="B191" s="256" t="s">
        <v>1002</v>
      </c>
      <c r="C191" s="231" t="s">
        <v>882</v>
      </c>
      <c r="D191" s="310"/>
      <c r="E191" s="310"/>
      <c r="F191" s="670"/>
      <c r="G191" s="625">
        <v>0</v>
      </c>
      <c r="H191" s="678" t="str">
        <f>IF(AND(ISNUMBER(D191),ISNUMBER(G191)),D191*G191,"")</f>
        <v/>
      </c>
      <c r="I191" s="273"/>
      <c r="J191" s="273"/>
      <c r="K191" s="30"/>
    </row>
    <row r="192" spans="1:11" ht="15" customHeight="1" x14ac:dyDescent="0.2">
      <c r="A192" s="279"/>
      <c r="B192" s="494" t="s">
        <v>157</v>
      </c>
      <c r="C192" s="231" t="s">
        <v>882</v>
      </c>
      <c r="D192" s="217"/>
      <c r="E192" s="217"/>
      <c r="F192" s="670"/>
      <c r="G192" s="674"/>
      <c r="H192" s="679"/>
      <c r="I192" s="29"/>
      <c r="J192" s="29"/>
      <c r="K192" s="30"/>
    </row>
    <row r="193" spans="1:11" ht="15" customHeight="1" x14ac:dyDescent="0.2">
      <c r="A193" s="279"/>
      <c r="B193" s="437" t="str">
        <f>CONCATENATE("Check: row ", ROW(B192), " ≤ row ", ROW(LCR!B191),)</f>
        <v>Check: row 192 ≤ row 191</v>
      </c>
      <c r="C193" s="237"/>
      <c r="D193" s="495" t="str">
        <f>IF((D192&lt;=D191),"Pass","Fail")</f>
        <v>Pass</v>
      </c>
      <c r="E193" s="495" t="str">
        <f>IF((E192&lt;=E191),"Pass","Fail")</f>
        <v>Pass</v>
      </c>
      <c r="F193" s="670"/>
      <c r="G193" s="674"/>
      <c r="H193" s="679"/>
      <c r="I193" s="29"/>
      <c r="J193" s="29"/>
      <c r="K193" s="30"/>
    </row>
    <row r="194" spans="1:11" ht="15" customHeight="1" x14ac:dyDescent="0.2">
      <c r="A194" s="279"/>
      <c r="B194" s="256" t="s">
        <v>1003</v>
      </c>
      <c r="C194" s="231" t="s">
        <v>882</v>
      </c>
      <c r="D194" s="310"/>
      <c r="E194" s="310"/>
      <c r="F194" s="670"/>
      <c r="G194" s="625">
        <v>0.15</v>
      </c>
      <c r="H194" s="678" t="str">
        <f>IF(AND(ISNUMBER(D194),ISNUMBER(G194)),D194*G194,"")</f>
        <v/>
      </c>
      <c r="I194" s="273"/>
      <c r="J194" s="273"/>
      <c r="K194" s="30"/>
    </row>
    <row r="195" spans="1:11" ht="15" customHeight="1" x14ac:dyDescent="0.2">
      <c r="A195" s="279"/>
      <c r="B195" s="494" t="s">
        <v>157</v>
      </c>
      <c r="C195" s="231" t="s">
        <v>882</v>
      </c>
      <c r="D195" s="217"/>
      <c r="E195" s="217"/>
      <c r="F195" s="670"/>
      <c r="G195" s="674"/>
      <c r="H195" s="679"/>
      <c r="I195" s="29"/>
      <c r="J195" s="29"/>
      <c r="K195" s="30"/>
    </row>
    <row r="196" spans="1:11" ht="15" customHeight="1" x14ac:dyDescent="0.2">
      <c r="A196" s="279"/>
      <c r="B196" s="437" t="str">
        <f>CONCATENATE("Check: row ", ROW(B195), " ≤ row ", ROW(LCR!B194),)</f>
        <v>Check: row 195 ≤ row 194</v>
      </c>
      <c r="C196" s="237"/>
      <c r="D196" s="495" t="str">
        <f>IF((D195&lt;=D194),"Pass","Fail")</f>
        <v>Pass</v>
      </c>
      <c r="E196" s="495" t="str">
        <f>IF((E195&lt;=E194),"Pass","Fail")</f>
        <v>Pass</v>
      </c>
      <c r="F196" s="670"/>
      <c r="G196" s="674"/>
      <c r="H196" s="679"/>
      <c r="I196" s="29"/>
      <c r="J196" s="29"/>
      <c r="K196" s="30"/>
    </row>
    <row r="197" spans="1:11" ht="15" customHeight="1" x14ac:dyDescent="0.2">
      <c r="A197" s="279"/>
      <c r="B197" s="256" t="s">
        <v>1004</v>
      </c>
      <c r="C197" s="231" t="s">
        <v>882</v>
      </c>
      <c r="D197" s="322"/>
      <c r="E197" s="322"/>
      <c r="F197" s="670"/>
      <c r="G197" s="625">
        <v>0.25</v>
      </c>
      <c r="H197" s="678" t="str">
        <f>IF(AND(ISNUMBER(D197),ISNUMBER(G197)),D197*G197,"")</f>
        <v/>
      </c>
      <c r="I197" s="29"/>
      <c r="J197" s="29"/>
      <c r="K197" s="30"/>
    </row>
    <row r="198" spans="1:11" ht="15" customHeight="1" x14ac:dyDescent="0.2">
      <c r="A198" s="279"/>
      <c r="B198" s="494" t="s">
        <v>157</v>
      </c>
      <c r="C198" s="231" t="s">
        <v>882</v>
      </c>
      <c r="D198" s="322"/>
      <c r="E198" s="322"/>
      <c r="F198" s="670"/>
      <c r="G198" s="674"/>
      <c r="H198" s="679"/>
      <c r="I198" s="29"/>
      <c r="J198" s="29"/>
      <c r="K198" s="30"/>
    </row>
    <row r="199" spans="1:11" ht="15" customHeight="1" x14ac:dyDescent="0.2">
      <c r="A199" s="279"/>
      <c r="B199" s="437" t="str">
        <f>CONCATENATE("Check: row ", ROW(B198), " ≤ row ", ROW(LCR!B197),)</f>
        <v>Check: row 198 ≤ row 197</v>
      </c>
      <c r="C199" s="237"/>
      <c r="D199" s="495" t="str">
        <f>IF((D198&lt;=D197),"Pass","Fail")</f>
        <v>Pass</v>
      </c>
      <c r="E199" s="495" t="str">
        <f>IF((E198&lt;=E197),"Pass","Fail")</f>
        <v>Pass</v>
      </c>
      <c r="F199" s="670"/>
      <c r="G199" s="674"/>
      <c r="H199" s="679"/>
      <c r="I199" s="29"/>
      <c r="J199" s="29"/>
      <c r="K199" s="30"/>
    </row>
    <row r="200" spans="1:11" ht="33" customHeight="1" x14ac:dyDescent="0.2">
      <c r="A200" s="279"/>
      <c r="B200" s="233" t="s">
        <v>1015</v>
      </c>
      <c r="C200" s="231" t="s">
        <v>882</v>
      </c>
      <c r="D200" s="686"/>
      <c r="E200" s="686"/>
      <c r="F200" s="670"/>
      <c r="G200" s="674"/>
      <c r="H200" s="679"/>
      <c r="I200" s="29"/>
      <c r="J200" s="29"/>
      <c r="K200" s="30"/>
    </row>
    <row r="201" spans="1:11" ht="15" customHeight="1" x14ac:dyDescent="0.2">
      <c r="A201" s="279"/>
      <c r="B201" s="618" t="s">
        <v>1005</v>
      </c>
      <c r="C201" s="231" t="s">
        <v>882</v>
      </c>
      <c r="D201" s="649"/>
      <c r="E201" s="649"/>
      <c r="F201" s="670"/>
      <c r="G201" s="625">
        <v>0.25</v>
      </c>
      <c r="H201" s="678" t="str">
        <f>IF(AND(ISNUMBER(D201),ISNUMBER(G201)),D201*G201,"")</f>
        <v/>
      </c>
      <c r="I201" s="29"/>
      <c r="J201" s="29"/>
      <c r="K201" s="30"/>
    </row>
    <row r="202" spans="1:11" ht="15" customHeight="1" x14ac:dyDescent="0.2">
      <c r="A202" s="279"/>
      <c r="B202" s="617" t="s">
        <v>157</v>
      </c>
      <c r="C202" s="231" t="s">
        <v>882</v>
      </c>
      <c r="D202" s="649"/>
      <c r="E202" s="649"/>
      <c r="F202" s="670"/>
      <c r="G202" s="674"/>
      <c r="H202" s="679"/>
      <c r="I202" s="29"/>
      <c r="J202" s="29"/>
      <c r="K202" s="30"/>
    </row>
    <row r="203" spans="1:11" ht="15" customHeight="1" x14ac:dyDescent="0.2">
      <c r="A203" s="279"/>
      <c r="B203" s="471" t="str">
        <f>CONCATENATE("Check: row ", ROW(B202), " ≤ row ", ROW(LCR!B201),)</f>
        <v>Check: row 202 ≤ row 201</v>
      </c>
      <c r="C203" s="237"/>
      <c r="D203" s="495" t="str">
        <f>IF((D202&lt;=D201),"Pass","Fail")</f>
        <v>Pass</v>
      </c>
      <c r="E203" s="495" t="str">
        <f>IF((E202&lt;=E201),"Pass","Fail")</f>
        <v>Pass</v>
      </c>
      <c r="F203" s="670"/>
      <c r="G203" s="674"/>
      <c r="H203" s="679"/>
      <c r="I203" s="29"/>
      <c r="J203" s="29"/>
      <c r="K203" s="30"/>
    </row>
    <row r="204" spans="1:11" ht="15" customHeight="1" x14ac:dyDescent="0.2">
      <c r="A204" s="279"/>
      <c r="B204" s="618" t="s">
        <v>1006</v>
      </c>
      <c r="C204" s="231" t="s">
        <v>882</v>
      </c>
      <c r="D204" s="322"/>
      <c r="E204" s="322"/>
      <c r="F204" s="670"/>
      <c r="G204" s="625">
        <v>0.5</v>
      </c>
      <c r="H204" s="678" t="str">
        <f>IF(AND(ISNUMBER(D204),ISNUMBER(G204)),D204*G204,"")</f>
        <v/>
      </c>
      <c r="I204" s="29"/>
      <c r="J204" s="29"/>
      <c r="K204" s="30"/>
    </row>
    <row r="205" spans="1:11" ht="15" customHeight="1" x14ac:dyDescent="0.2">
      <c r="A205" s="279"/>
      <c r="B205" s="617" t="s">
        <v>157</v>
      </c>
      <c r="C205" s="231" t="s">
        <v>882</v>
      </c>
      <c r="D205" s="322"/>
      <c r="E205" s="322"/>
      <c r="F205" s="670"/>
      <c r="G205" s="674"/>
      <c r="H205" s="679"/>
      <c r="I205" s="29"/>
      <c r="J205" s="29"/>
      <c r="K205" s="30"/>
    </row>
    <row r="206" spans="1:11" ht="15" customHeight="1" x14ac:dyDescent="0.2">
      <c r="A206" s="279"/>
      <c r="B206" s="471" t="str">
        <f>CONCATENATE("Check: row ", ROW(B205), " ≤ row ", ROW(LCR!B204),)</f>
        <v>Check: row 205 ≤ row 204</v>
      </c>
      <c r="C206" s="237"/>
      <c r="D206" s="495" t="str">
        <f>IF((D205&lt;=D204),"Pass","Fail")</f>
        <v>Pass</v>
      </c>
      <c r="E206" s="495" t="str">
        <f>IF((E205&lt;=E204),"Pass","Fail")</f>
        <v>Pass</v>
      </c>
      <c r="F206" s="670"/>
      <c r="G206" s="674"/>
      <c r="H206" s="679"/>
      <c r="I206" s="29"/>
      <c r="J206" s="29"/>
      <c r="K206" s="30"/>
    </row>
    <row r="207" spans="1:11" ht="15" customHeight="1" x14ac:dyDescent="0.2">
      <c r="A207" s="279"/>
      <c r="B207" s="256" t="s">
        <v>1007</v>
      </c>
      <c r="C207" s="231" t="s">
        <v>882</v>
      </c>
      <c r="D207" s="686"/>
      <c r="E207" s="686"/>
      <c r="F207" s="670"/>
      <c r="G207" s="674"/>
      <c r="H207" s="679"/>
      <c r="I207" s="273"/>
      <c r="J207" s="273"/>
      <c r="K207" s="30"/>
    </row>
    <row r="208" spans="1:11" ht="15" customHeight="1" x14ac:dyDescent="0.2">
      <c r="A208" s="279"/>
      <c r="B208" s="618" t="s">
        <v>1008</v>
      </c>
      <c r="C208" s="231" t="s">
        <v>882</v>
      </c>
      <c r="D208" s="683"/>
      <c r="E208" s="687"/>
      <c r="F208" s="670"/>
      <c r="G208" s="625">
        <v>0.25</v>
      </c>
      <c r="H208" s="678" t="str">
        <f>IF(AND(ISNUMBER(D208),ISNUMBER(G208)),D208*G208,"")</f>
        <v/>
      </c>
      <c r="I208" s="273"/>
      <c r="J208" s="273"/>
      <c r="K208" s="30"/>
    </row>
    <row r="209" spans="1:21" ht="15" customHeight="1" x14ac:dyDescent="0.2">
      <c r="A209" s="279"/>
      <c r="B209" s="618" t="s">
        <v>1009</v>
      </c>
      <c r="C209" s="231" t="s">
        <v>882</v>
      </c>
      <c r="D209" s="211"/>
      <c r="E209" s="687"/>
      <c r="F209" s="670"/>
      <c r="G209" s="625">
        <v>1</v>
      </c>
      <c r="H209" s="678" t="str">
        <f>IF(AND(ISNUMBER(D209),ISNUMBER(G209)),D209*G209,"")</f>
        <v/>
      </c>
      <c r="I209" s="273"/>
      <c r="J209" s="273"/>
      <c r="K209" s="30"/>
    </row>
    <row r="210" spans="1:21" ht="15" customHeight="1" x14ac:dyDescent="0.2">
      <c r="A210" s="279"/>
      <c r="B210" s="253" t="s">
        <v>779</v>
      </c>
      <c r="C210" s="237"/>
      <c r="D210" s="686"/>
      <c r="E210" s="686"/>
      <c r="F210" s="670"/>
      <c r="G210" s="686"/>
      <c r="H210" s="680" t="str">
        <f>IF(AND(ISNUMBER(H178),ISNUMBER(H181),ISNUMBER(H190),ISNUMBER(H191),ISNUMBER(H194),ISNUMBER(H208),ISNUMBER(H209)),SUM(H178,H181,H184,H187,H190:H191,H194,H197,H201,H204,H208:H209),"")</f>
        <v/>
      </c>
      <c r="I210" s="273"/>
      <c r="J210" s="273"/>
      <c r="K210" s="30"/>
    </row>
    <row r="211" spans="1:21" s="267" customFormat="1" ht="45" customHeight="1" x14ac:dyDescent="0.25">
      <c r="A211" s="81" t="s">
        <v>124</v>
      </c>
      <c r="B211" s="81"/>
      <c r="C211" s="271"/>
      <c r="D211" s="271"/>
      <c r="E211" s="272"/>
      <c r="F211" s="273"/>
      <c r="G211" s="273"/>
      <c r="H211" s="273"/>
      <c r="I211" s="273"/>
      <c r="J211" s="273"/>
      <c r="K211" s="30"/>
      <c r="L211" s="273"/>
      <c r="M211" s="273"/>
      <c r="N211" s="273"/>
      <c r="O211" s="273"/>
      <c r="P211" s="273"/>
      <c r="Q211" s="273"/>
      <c r="R211" s="273"/>
      <c r="S211" s="273"/>
      <c r="T211" s="273"/>
      <c r="U211" s="273"/>
    </row>
    <row r="212" spans="1:21" ht="30" customHeight="1" x14ac:dyDescent="0.2">
      <c r="A212" s="279"/>
      <c r="B212" s="238"/>
      <c r="C212" s="281" t="s">
        <v>986</v>
      </c>
      <c r="D212" s="281" t="s">
        <v>643</v>
      </c>
      <c r="E212" s="540"/>
      <c r="F212" s="541"/>
      <c r="G212" s="281" t="s">
        <v>678</v>
      </c>
      <c r="H212" s="281" t="s">
        <v>679</v>
      </c>
      <c r="I212" s="273"/>
      <c r="J212" s="273"/>
      <c r="K212" s="30"/>
    </row>
    <row r="213" spans="1:21" ht="15" customHeight="1" x14ac:dyDescent="0.2">
      <c r="A213" s="279"/>
      <c r="B213" s="233" t="s">
        <v>891</v>
      </c>
      <c r="C213" s="231" t="s">
        <v>911</v>
      </c>
      <c r="D213" s="683"/>
      <c r="E213" s="671"/>
      <c r="F213" s="672"/>
      <c r="G213" s="625">
        <v>1</v>
      </c>
      <c r="H213" s="678" t="str">
        <f>IF(AND(ISNUMBER(D213),ISNUMBER(G213)),D213*G213,"")</f>
        <v/>
      </c>
      <c r="I213" s="273"/>
      <c r="J213" s="273"/>
      <c r="K213" s="30"/>
    </row>
    <row r="214" spans="1:21" ht="15" customHeight="1" x14ac:dyDescent="0.2">
      <c r="A214" s="279"/>
      <c r="B214" s="233" t="s">
        <v>1010</v>
      </c>
      <c r="C214" s="231">
        <v>118</v>
      </c>
      <c r="D214" s="683"/>
      <c r="E214" s="671"/>
      <c r="F214" s="672"/>
      <c r="G214" s="625">
        <v>1</v>
      </c>
      <c r="H214" s="678" t="str">
        <f>IF(AND(ISNUMBER(D214),ISNUMBER(G214)),D214*G214,"")</f>
        <v/>
      </c>
      <c r="I214" s="273"/>
      <c r="J214" s="273"/>
      <c r="K214" s="30"/>
    </row>
    <row r="215" spans="1:21" ht="30" customHeight="1" x14ac:dyDescent="0.2">
      <c r="A215" s="279"/>
      <c r="B215" s="233" t="s">
        <v>780</v>
      </c>
      <c r="C215" s="231">
        <v>119</v>
      </c>
      <c r="D215" s="681"/>
      <c r="E215" s="671"/>
      <c r="F215" s="672"/>
      <c r="G215" s="688"/>
      <c r="H215" s="688"/>
      <c r="I215" s="273"/>
      <c r="J215" s="273"/>
      <c r="K215" s="30"/>
    </row>
    <row r="216" spans="1:21" ht="15" customHeight="1" x14ac:dyDescent="0.2">
      <c r="A216" s="279"/>
      <c r="B216" s="251" t="s">
        <v>892</v>
      </c>
      <c r="C216" s="237"/>
      <c r="D216" s="683"/>
      <c r="E216" s="671"/>
      <c r="F216" s="672"/>
      <c r="G216" s="625">
        <v>0</v>
      </c>
      <c r="H216" s="678" t="str">
        <f t="shared" ref="H216:H222" si="2">IF(AND(ISNUMBER(D216),ISNUMBER(G216)),D216*G216,"")</f>
        <v/>
      </c>
      <c r="I216" s="273"/>
      <c r="J216" s="273"/>
      <c r="K216" s="30"/>
    </row>
    <row r="217" spans="1:21" ht="15" customHeight="1" x14ac:dyDescent="0.2">
      <c r="A217" s="279"/>
      <c r="B217" s="251" t="s">
        <v>74</v>
      </c>
      <c r="C217" s="237"/>
      <c r="D217" s="683"/>
      <c r="E217" s="671"/>
      <c r="F217" s="672"/>
      <c r="G217" s="625">
        <v>0.2</v>
      </c>
      <c r="H217" s="678" t="str">
        <f t="shared" si="2"/>
        <v/>
      </c>
      <c r="I217" s="273"/>
      <c r="J217" s="273"/>
      <c r="K217" s="30"/>
    </row>
    <row r="218" spans="1:21" ht="30" customHeight="1" x14ac:dyDescent="0.2">
      <c r="A218" s="279"/>
      <c r="B218" s="233" t="s">
        <v>893</v>
      </c>
      <c r="C218" s="620">
        <v>120</v>
      </c>
      <c r="D218" s="687"/>
      <c r="E218" s="671"/>
      <c r="F218" s="672"/>
      <c r="G218" s="625">
        <v>1</v>
      </c>
      <c r="H218" s="678" t="str">
        <f t="shared" si="2"/>
        <v/>
      </c>
      <c r="I218" s="29"/>
      <c r="J218" s="29"/>
      <c r="K218" s="30"/>
    </row>
    <row r="219" spans="1:21" ht="30" customHeight="1" x14ac:dyDescent="0.2">
      <c r="A219" s="279"/>
      <c r="B219" s="233" t="s">
        <v>894</v>
      </c>
      <c r="C219" s="620">
        <v>121</v>
      </c>
      <c r="D219" s="687"/>
      <c r="E219" s="671"/>
      <c r="F219" s="672"/>
      <c r="G219" s="625">
        <v>1</v>
      </c>
      <c r="H219" s="678" t="str">
        <f t="shared" si="2"/>
        <v/>
      </c>
      <c r="I219" s="29"/>
      <c r="J219" s="29"/>
      <c r="K219" s="30"/>
    </row>
    <row r="220" spans="1:21" ht="15" customHeight="1" x14ac:dyDescent="0.2">
      <c r="A220" s="383"/>
      <c r="B220" s="233" t="s">
        <v>895</v>
      </c>
      <c r="C220" s="620">
        <v>122</v>
      </c>
      <c r="D220" s="687"/>
      <c r="E220" s="671"/>
      <c r="F220" s="672"/>
      <c r="G220" s="625">
        <v>1</v>
      </c>
      <c r="H220" s="678" t="str">
        <f t="shared" si="2"/>
        <v/>
      </c>
      <c r="I220" s="29"/>
      <c r="J220" s="29"/>
      <c r="K220" s="30"/>
    </row>
    <row r="221" spans="1:21" ht="15" customHeight="1" x14ac:dyDescent="0.2">
      <c r="A221" s="383"/>
      <c r="B221" s="233" t="s">
        <v>896</v>
      </c>
      <c r="C221" s="620">
        <v>123</v>
      </c>
      <c r="D221" s="687"/>
      <c r="E221" s="671"/>
      <c r="F221" s="672"/>
      <c r="G221" s="625">
        <v>1</v>
      </c>
      <c r="H221" s="678" t="str">
        <f t="shared" si="2"/>
        <v/>
      </c>
      <c r="I221" s="29"/>
      <c r="J221" s="29"/>
      <c r="K221" s="30"/>
    </row>
    <row r="222" spans="1:21" ht="15" customHeight="1" x14ac:dyDescent="0.2">
      <c r="A222" s="279"/>
      <c r="B222" s="233" t="s">
        <v>692</v>
      </c>
      <c r="C222" s="231">
        <v>124</v>
      </c>
      <c r="D222" s="683"/>
      <c r="E222" s="671"/>
      <c r="F222" s="672"/>
      <c r="G222" s="625">
        <v>1</v>
      </c>
      <c r="H222" s="678" t="str">
        <f t="shared" si="2"/>
        <v/>
      </c>
      <c r="I222" s="273"/>
      <c r="J222" s="273"/>
      <c r="K222" s="30"/>
    </row>
    <row r="223" spans="1:21" ht="15" customHeight="1" x14ac:dyDescent="0.2">
      <c r="A223" s="279"/>
      <c r="B223" s="233" t="s">
        <v>693</v>
      </c>
      <c r="C223" s="231">
        <v>125</v>
      </c>
      <c r="D223" s="681"/>
      <c r="E223" s="671"/>
      <c r="F223" s="672"/>
      <c r="G223" s="688"/>
      <c r="H223" s="688"/>
      <c r="I223" s="273"/>
      <c r="J223" s="273"/>
      <c r="K223" s="30"/>
    </row>
    <row r="224" spans="1:21" ht="15" customHeight="1" x14ac:dyDescent="0.2">
      <c r="A224" s="279"/>
      <c r="B224" s="414" t="s">
        <v>694</v>
      </c>
      <c r="C224" s="231">
        <v>125</v>
      </c>
      <c r="D224" s="683"/>
      <c r="E224" s="671"/>
      <c r="F224" s="672"/>
      <c r="G224" s="625">
        <v>1</v>
      </c>
      <c r="H224" s="678" t="str">
        <f>IF(AND(ISNUMBER(D224),ISNUMBER(G224)),D224*G224,"")</f>
        <v/>
      </c>
      <c r="I224" s="273"/>
      <c r="J224" s="273"/>
      <c r="K224" s="30"/>
    </row>
    <row r="225" spans="1:11" ht="15" customHeight="1" x14ac:dyDescent="0.2">
      <c r="A225" s="279"/>
      <c r="B225" s="251" t="s">
        <v>781</v>
      </c>
      <c r="C225" s="231">
        <v>125</v>
      </c>
      <c r="D225" s="683"/>
      <c r="E225" s="671"/>
      <c r="F225" s="672"/>
      <c r="G225" s="625">
        <v>1</v>
      </c>
      <c r="H225" s="678" t="str">
        <f>IF(AND(ISNUMBER(D225),ISNUMBER(G225)),D225*G225,"")</f>
        <v/>
      </c>
      <c r="I225" s="273"/>
      <c r="J225" s="273"/>
      <c r="K225" s="30"/>
    </row>
    <row r="226" spans="1:11" ht="15" customHeight="1" x14ac:dyDescent="0.2">
      <c r="A226" s="279"/>
      <c r="B226" s="251" t="s">
        <v>782</v>
      </c>
      <c r="C226" s="231">
        <v>125</v>
      </c>
      <c r="D226" s="683"/>
      <c r="E226" s="671"/>
      <c r="F226" s="672"/>
      <c r="G226" s="625">
        <v>1</v>
      </c>
      <c r="H226" s="678" t="str">
        <f>IF(AND(ISNUMBER(D226),ISNUMBER(G226)),D226*G226,"")</f>
        <v/>
      </c>
      <c r="I226" s="273"/>
      <c r="J226" s="273"/>
      <c r="K226" s="30"/>
    </row>
    <row r="227" spans="1:11" ht="15" customHeight="1" x14ac:dyDescent="0.2">
      <c r="A227" s="279"/>
      <c r="B227" s="233" t="s">
        <v>0</v>
      </c>
      <c r="C227" s="231">
        <v>124</v>
      </c>
      <c r="D227" s="683"/>
      <c r="E227" s="671"/>
      <c r="F227" s="672"/>
      <c r="G227" s="625">
        <v>1</v>
      </c>
      <c r="H227" s="678" t="str">
        <f>IF(AND(ISNUMBER(D227),ISNUMBER(G227)),D227*G227,"")</f>
        <v/>
      </c>
      <c r="I227" s="273"/>
      <c r="J227" s="273"/>
      <c r="K227" s="30"/>
    </row>
    <row r="228" spans="1:11" ht="15" customHeight="1" x14ac:dyDescent="0.2">
      <c r="A228" s="279"/>
      <c r="B228" s="230" t="s">
        <v>1</v>
      </c>
      <c r="C228" s="231" t="s">
        <v>912</v>
      </c>
      <c r="D228" s="683"/>
      <c r="E228" s="671"/>
      <c r="F228" s="672"/>
      <c r="G228" s="625">
        <v>0.05</v>
      </c>
      <c r="H228" s="678" t="str">
        <f>IF(AND(ISNUMBER(D228),ISNUMBER(G228)),D228*G228,"")</f>
        <v/>
      </c>
      <c r="I228" s="273"/>
      <c r="J228" s="273"/>
      <c r="K228" s="30"/>
    </row>
    <row r="229" spans="1:11" ht="15" customHeight="1" x14ac:dyDescent="0.2">
      <c r="A229" s="279"/>
      <c r="B229" s="233" t="s">
        <v>2</v>
      </c>
      <c r="C229" s="237"/>
      <c r="D229" s="681"/>
      <c r="E229" s="671"/>
      <c r="F229" s="672"/>
      <c r="G229" s="688"/>
      <c r="H229" s="688"/>
      <c r="I229" s="273"/>
      <c r="J229" s="273"/>
      <c r="K229" s="30"/>
    </row>
    <row r="230" spans="1:11" ht="15" customHeight="1" x14ac:dyDescent="0.2">
      <c r="A230" s="279"/>
      <c r="B230" s="251" t="s">
        <v>636</v>
      </c>
      <c r="C230" s="231" t="s">
        <v>913</v>
      </c>
      <c r="D230" s="683"/>
      <c r="E230" s="671"/>
      <c r="F230" s="672"/>
      <c r="G230" s="625">
        <v>0.1</v>
      </c>
      <c r="H230" s="678" t="str">
        <f>IF(AND(ISNUMBER(D230),ISNUMBER(G230)),D230*G230,"")</f>
        <v/>
      </c>
      <c r="I230" s="273"/>
      <c r="J230" s="273"/>
      <c r="K230" s="30"/>
    </row>
    <row r="231" spans="1:11" ht="15" customHeight="1" x14ac:dyDescent="0.2">
      <c r="A231" s="279"/>
      <c r="B231" s="251" t="s">
        <v>3</v>
      </c>
      <c r="C231" s="231" t="s">
        <v>913</v>
      </c>
      <c r="D231" s="683"/>
      <c r="E231" s="671"/>
      <c r="F231" s="672"/>
      <c r="G231" s="625">
        <v>0.1</v>
      </c>
      <c r="H231" s="678" t="str">
        <f>IF(AND(ISNUMBER(D231),ISNUMBER(G231)),D231*G231,"")</f>
        <v/>
      </c>
      <c r="I231" s="273"/>
      <c r="J231" s="273"/>
      <c r="K231" s="30"/>
    </row>
    <row r="232" spans="1:11" ht="15" customHeight="1" x14ac:dyDescent="0.2">
      <c r="A232" s="279"/>
      <c r="B232" s="233" t="s">
        <v>4</v>
      </c>
      <c r="C232" s="237"/>
      <c r="D232" s="681"/>
      <c r="E232" s="671"/>
      <c r="F232" s="672"/>
      <c r="G232" s="688"/>
      <c r="H232" s="688"/>
      <c r="I232" s="273"/>
      <c r="J232" s="273"/>
      <c r="K232" s="30"/>
    </row>
    <row r="233" spans="1:11" ht="15" customHeight="1" x14ac:dyDescent="0.2">
      <c r="A233" s="279"/>
      <c r="B233" s="251" t="s">
        <v>636</v>
      </c>
      <c r="C233" s="231" t="s">
        <v>914</v>
      </c>
      <c r="D233" s="683"/>
      <c r="E233" s="671"/>
      <c r="F233" s="672"/>
      <c r="G233" s="625">
        <v>0.3</v>
      </c>
      <c r="H233" s="678" t="str">
        <f t="shared" ref="H233:H238" si="3">IF(AND(ISNUMBER(D233),ISNUMBER(G233)),D233*G233,"")</f>
        <v/>
      </c>
      <c r="I233" s="273"/>
      <c r="J233" s="273"/>
      <c r="K233" s="30"/>
    </row>
    <row r="234" spans="1:11" ht="15" customHeight="1" x14ac:dyDescent="0.2">
      <c r="A234" s="279"/>
      <c r="B234" s="251" t="s">
        <v>3</v>
      </c>
      <c r="C234" s="231" t="s">
        <v>914</v>
      </c>
      <c r="D234" s="683"/>
      <c r="E234" s="671"/>
      <c r="F234" s="672"/>
      <c r="G234" s="625">
        <v>0.3</v>
      </c>
      <c r="H234" s="678" t="str">
        <f t="shared" si="3"/>
        <v/>
      </c>
      <c r="I234" s="273"/>
      <c r="J234" s="273"/>
      <c r="K234" s="30"/>
    </row>
    <row r="235" spans="1:11" ht="15" customHeight="1" x14ac:dyDescent="0.2">
      <c r="A235" s="279"/>
      <c r="B235" s="233" t="s">
        <v>897</v>
      </c>
      <c r="C235" s="231" t="s">
        <v>898</v>
      </c>
      <c r="D235" s="683"/>
      <c r="E235" s="671"/>
      <c r="F235" s="672"/>
      <c r="G235" s="625">
        <v>0.4</v>
      </c>
      <c r="H235" s="678" t="str">
        <f t="shared" si="3"/>
        <v/>
      </c>
      <c r="I235" s="273"/>
      <c r="J235" s="273"/>
      <c r="K235" s="30"/>
    </row>
    <row r="236" spans="1:11" ht="15" customHeight="1" x14ac:dyDescent="0.2">
      <c r="A236" s="279"/>
      <c r="B236" s="233" t="s">
        <v>899</v>
      </c>
      <c r="C236" s="231" t="s">
        <v>900</v>
      </c>
      <c r="D236" s="683"/>
      <c r="E236" s="671"/>
      <c r="F236" s="672"/>
      <c r="G236" s="625">
        <v>0.4</v>
      </c>
      <c r="H236" s="678" t="str">
        <f t="shared" si="3"/>
        <v/>
      </c>
      <c r="I236" s="273"/>
      <c r="J236" s="273"/>
      <c r="K236" s="30"/>
    </row>
    <row r="237" spans="1:11" ht="15" customHeight="1" x14ac:dyDescent="0.2">
      <c r="A237" s="279"/>
      <c r="B237" s="233" t="s">
        <v>901</v>
      </c>
      <c r="C237" s="231" t="s">
        <v>902</v>
      </c>
      <c r="D237" s="683"/>
      <c r="E237" s="671"/>
      <c r="F237" s="672"/>
      <c r="G237" s="625">
        <v>1</v>
      </c>
      <c r="H237" s="678" t="str">
        <f t="shared" si="3"/>
        <v/>
      </c>
      <c r="I237" s="273"/>
      <c r="J237" s="273"/>
      <c r="K237" s="30"/>
    </row>
    <row r="238" spans="1:11" ht="15" customHeight="1" x14ac:dyDescent="0.2">
      <c r="A238" s="279"/>
      <c r="B238" s="489" t="s">
        <v>982</v>
      </c>
      <c r="C238" s="231" t="s">
        <v>915</v>
      </c>
      <c r="D238" s="683"/>
      <c r="E238" s="671"/>
      <c r="F238" s="672"/>
      <c r="G238" s="625">
        <v>1</v>
      </c>
      <c r="H238" s="678" t="str">
        <f t="shared" si="3"/>
        <v/>
      </c>
      <c r="I238" s="273"/>
      <c r="J238" s="273"/>
      <c r="K238" s="30"/>
    </row>
    <row r="239" spans="1:11" ht="15" customHeight="1" x14ac:dyDescent="0.2">
      <c r="A239" s="282"/>
      <c r="B239" s="218"/>
      <c r="C239" s="219"/>
      <c r="D239" s="219"/>
      <c r="E239" s="300"/>
      <c r="F239" s="278"/>
      <c r="G239" s="278"/>
      <c r="H239" s="278"/>
      <c r="I239" s="273"/>
      <c r="J239" s="273"/>
      <c r="K239" s="30"/>
    </row>
    <row r="240" spans="1:11" ht="30" customHeight="1" x14ac:dyDescent="0.2">
      <c r="A240" s="279"/>
      <c r="B240" s="239" t="s">
        <v>5</v>
      </c>
      <c r="C240" s="281" t="s">
        <v>986</v>
      </c>
      <c r="D240" s="281" t="s">
        <v>643</v>
      </c>
      <c r="E240" s="281" t="s">
        <v>6</v>
      </c>
      <c r="F240" s="281" t="s">
        <v>7</v>
      </c>
      <c r="G240" s="281" t="s">
        <v>678</v>
      </c>
      <c r="H240" s="281" t="s">
        <v>679</v>
      </c>
      <c r="I240" s="273"/>
      <c r="J240" s="273"/>
      <c r="K240" s="30"/>
    </row>
    <row r="241" spans="1:11" ht="15" customHeight="1" x14ac:dyDescent="0.2">
      <c r="A241" s="279"/>
      <c r="B241" s="251" t="s">
        <v>147</v>
      </c>
      <c r="C241" s="231">
        <v>132</v>
      </c>
      <c r="D241" s="687"/>
      <c r="E241" s="693"/>
      <c r="F241" s="694"/>
      <c r="G241" s="689">
        <v>1</v>
      </c>
      <c r="H241" s="690" t="str">
        <f>IF(AND(ISNUMBER(D241),ISNUMBER(G241)),D241*G241,"")</f>
        <v/>
      </c>
      <c r="I241" s="273"/>
      <c r="J241" s="273"/>
      <c r="K241" s="30"/>
    </row>
    <row r="242" spans="1:11" ht="15" customHeight="1" x14ac:dyDescent="0.2">
      <c r="A242" s="279"/>
      <c r="B242" s="251" t="s">
        <v>635</v>
      </c>
      <c r="C242" s="231">
        <v>133</v>
      </c>
      <c r="D242" s="687"/>
      <c r="E242" s="678" t="str">
        <f>IF(AND(ISNUMBER(D301),ISNUMBER(H301)),D301-H301,"")</f>
        <v/>
      </c>
      <c r="F242" s="694"/>
      <c r="G242" s="695"/>
      <c r="H242" s="696"/>
      <c r="I242" s="273"/>
      <c r="J242" s="273"/>
      <c r="K242" s="30"/>
    </row>
    <row r="243" spans="1:11" ht="15" customHeight="1" x14ac:dyDescent="0.2">
      <c r="A243" s="279"/>
      <c r="B243" s="251" t="s">
        <v>8</v>
      </c>
      <c r="C243" s="231">
        <v>133</v>
      </c>
      <c r="D243" s="687"/>
      <c r="E243" s="678" t="str">
        <f>IF(AND(ISNUMBER(D302),ISNUMBER(H302)),D302-H302,"")</f>
        <v/>
      </c>
      <c r="F243" s="694"/>
      <c r="G243" s="695"/>
      <c r="H243" s="696"/>
      <c r="I243" s="273"/>
      <c r="J243" s="273"/>
      <c r="K243" s="30"/>
    </row>
    <row r="244" spans="1:11" ht="15" customHeight="1" x14ac:dyDescent="0.2">
      <c r="A244" s="279"/>
      <c r="B244" s="251" t="s">
        <v>636</v>
      </c>
      <c r="C244" s="231">
        <v>133</v>
      </c>
      <c r="D244" s="687"/>
      <c r="E244" s="678" t="str">
        <f>IF(AND(ISNUMBER(D303),ISNUMBER(H303)),D303-H303,"")</f>
        <v/>
      </c>
      <c r="F244" s="694"/>
      <c r="G244" s="695"/>
      <c r="H244" s="696"/>
      <c r="I244" s="273"/>
      <c r="J244" s="273"/>
      <c r="K244" s="30"/>
    </row>
    <row r="245" spans="1:11" ht="15" customHeight="1" x14ac:dyDescent="0.2">
      <c r="A245" s="279"/>
      <c r="B245" s="251" t="s">
        <v>9</v>
      </c>
      <c r="C245" s="231">
        <v>133</v>
      </c>
      <c r="D245" s="687"/>
      <c r="E245" s="678" t="str">
        <f>IF(AND(ISNUMBER(D304),ISNUMBER(H304),ISNUMBER(D309),ISNUMBER(H309)),((D309-H309)+(D304-H304)),"")</f>
        <v/>
      </c>
      <c r="F245" s="694"/>
      <c r="G245" s="695"/>
      <c r="H245" s="696"/>
      <c r="I245" s="273"/>
      <c r="J245" s="273"/>
      <c r="K245" s="30"/>
    </row>
    <row r="246" spans="1:11" ht="15" customHeight="1" x14ac:dyDescent="0.2">
      <c r="A246" s="279"/>
      <c r="B246" s="251" t="s">
        <v>64</v>
      </c>
      <c r="C246" s="237"/>
      <c r="D246" s="690" t="str">
        <f>IF(AND(ISNUMBER(D242),ISNUMBER(D243),ISNUMBER(D244),ISNUMBER(D245)),SUM(D242:D245),"")</f>
        <v/>
      </c>
      <c r="E246" s="690" t="str">
        <f>IF(AND(ISNUMBER(E242),ISNUMBER(E243),ISNUMBER(E244),ISNUMBER(E245)),SUM(E242:E245),"")</f>
        <v/>
      </c>
      <c r="F246" s="691" t="str">
        <f>IF(AND(ISNUMBER(D246),ISNUMBER(E246)),MAX(D246-E246,0),"")</f>
        <v/>
      </c>
      <c r="G246" s="689">
        <v>1</v>
      </c>
      <c r="H246" s="690" t="str">
        <f>IF(AND(ISNUMBER(F246),ISNUMBER(G246)),F246*G246,"")</f>
        <v/>
      </c>
      <c r="I246" s="273"/>
      <c r="J246" s="273"/>
      <c r="K246" s="30"/>
    </row>
    <row r="247" spans="1:11" ht="30" customHeight="1" x14ac:dyDescent="0.2">
      <c r="A247" s="279"/>
      <c r="B247" s="257" t="s">
        <v>10</v>
      </c>
      <c r="C247" s="237"/>
      <c r="D247" s="697"/>
      <c r="E247" s="697"/>
      <c r="F247" s="697"/>
      <c r="G247" s="697"/>
      <c r="H247" s="692" t="str">
        <f>IF(AND(ISNUMBER(H241),ISNUMBER(H246)),H241+H246,"")</f>
        <v/>
      </c>
      <c r="I247" s="273"/>
      <c r="J247" s="273"/>
      <c r="K247" s="30"/>
    </row>
    <row r="248" spans="1:11" ht="15" customHeight="1" x14ac:dyDescent="0.2">
      <c r="A248" s="282"/>
      <c r="B248" s="220"/>
      <c r="C248" s="221"/>
      <c r="D248" s="220"/>
      <c r="E248" s="29"/>
      <c r="F248" s="29"/>
      <c r="G248" s="302"/>
      <c r="H248" s="302"/>
      <c r="I248" s="273"/>
      <c r="J248" s="273"/>
      <c r="K248" s="30"/>
    </row>
    <row r="249" spans="1:11" ht="30" customHeight="1" x14ac:dyDescent="0.2">
      <c r="A249" s="282"/>
      <c r="B249" s="243"/>
      <c r="C249" s="245"/>
      <c r="D249" s="245"/>
      <c r="E249" s="245"/>
      <c r="G249" s="302"/>
      <c r="H249" s="281" t="s">
        <v>679</v>
      </c>
      <c r="I249" s="273"/>
      <c r="J249" s="273"/>
      <c r="K249" s="30"/>
    </row>
    <row r="250" spans="1:11" ht="15" customHeight="1" x14ac:dyDescent="0.2">
      <c r="A250" s="279"/>
      <c r="B250" s="258" t="s">
        <v>65</v>
      </c>
      <c r="C250" s="237"/>
      <c r="D250" s="318"/>
      <c r="E250" s="320"/>
      <c r="F250" s="320"/>
      <c r="G250" s="319"/>
      <c r="H250" s="379" t="str">
        <f>IF(AND(ISNUMBER(H213),ISNUMBER(H214),ISNUMBER(H216),ISNUMBER(H217),ISNUMBER(H218),ISNUMBER(H219),ISNUMBER(H220),ISNUMBER(H221),ISNUMBER(H222),ISNUMBER(H224),ISNUMBER(H225),ISNUMBER(H226),ISNUMBER(H227),ISNUMBER(H228),ISNUMBER(H230),ISNUMBER(H231),ISNUMBER(H233),ISNUMBER(H234),ISNUMBER(H235),ISNUMBER(H236),ISNUMBER(H237),ISNUMBER(H238),ISNUMBER(H247)),H213+H214+SUM(H216:H222)+SUM(H224:H228)+SUM(H230:H231)+SUM(H233:H238)+H247,"")</f>
        <v/>
      </c>
      <c r="I250" s="273"/>
      <c r="J250" s="273"/>
      <c r="K250" s="30"/>
    </row>
    <row r="251" spans="1:11" ht="15" customHeight="1" x14ac:dyDescent="0.2">
      <c r="A251" s="279"/>
      <c r="B251" s="220"/>
      <c r="C251" s="278"/>
      <c r="D251" s="277"/>
      <c r="E251" s="278"/>
      <c r="F251" s="303"/>
      <c r="G251" s="278"/>
      <c r="H251" s="278"/>
      <c r="I251" s="273"/>
      <c r="J251" s="273"/>
      <c r="K251" s="30"/>
    </row>
    <row r="252" spans="1:11" ht="30" customHeight="1" x14ac:dyDescent="0.2">
      <c r="A252" s="279"/>
      <c r="B252" s="257" t="s">
        <v>372</v>
      </c>
      <c r="C252" s="281" t="s">
        <v>986</v>
      </c>
      <c r="D252" s="281" t="s">
        <v>643</v>
      </c>
      <c r="E252" s="318"/>
      <c r="F252" s="319"/>
      <c r="G252" s="281" t="s">
        <v>678</v>
      </c>
      <c r="H252" s="281" t="s">
        <v>679</v>
      </c>
      <c r="I252" s="273"/>
      <c r="J252" s="273"/>
      <c r="K252" s="30"/>
    </row>
    <row r="253" spans="1:11" ht="15" customHeight="1" x14ac:dyDescent="0.2">
      <c r="A253" s="279"/>
      <c r="B253" s="230" t="s">
        <v>903</v>
      </c>
      <c r="C253" s="619">
        <v>137</v>
      </c>
      <c r="D253" s="648"/>
      <c r="E253" s="676"/>
      <c r="F253" s="677"/>
      <c r="G253" s="625">
        <f>Parameters!E58</f>
        <v>0</v>
      </c>
      <c r="H253" s="666" t="str">
        <f>IF(AND(ISNUMBER(D253),ISNUMBER(G253)),D253*G253,"")</f>
        <v/>
      </c>
      <c r="I253" s="273"/>
      <c r="J253" s="273"/>
      <c r="K253" s="30"/>
    </row>
    <row r="254" spans="1:11" ht="15" customHeight="1" x14ac:dyDescent="0.2">
      <c r="A254" s="279"/>
      <c r="B254" s="233" t="s">
        <v>528</v>
      </c>
      <c r="C254" s="231">
        <v>140</v>
      </c>
      <c r="D254" s="648"/>
      <c r="E254" s="676"/>
      <c r="F254" s="677"/>
      <c r="G254" s="625">
        <f>Parameters!E59</f>
        <v>0</v>
      </c>
      <c r="H254" s="666" t="str">
        <f>IF(AND(ISNUMBER(D254),ISNUMBER(G254)),D254*G254,"")</f>
        <v/>
      </c>
      <c r="I254" s="273"/>
      <c r="J254" s="273"/>
      <c r="K254" s="30"/>
    </row>
    <row r="255" spans="1:11" ht="15" customHeight="1" x14ac:dyDescent="0.2">
      <c r="A255" s="279"/>
      <c r="B255" s="233" t="s">
        <v>904</v>
      </c>
      <c r="C255" s="231" t="s">
        <v>909</v>
      </c>
      <c r="D255" s="648"/>
      <c r="E255" s="676"/>
      <c r="F255" s="677"/>
      <c r="G255" s="625">
        <f>Parameters!E60</f>
        <v>0</v>
      </c>
      <c r="H255" s="666" t="str">
        <f>IF(AND(ISNUMBER(D255),ISNUMBER(G255)),D255*G255,"")</f>
        <v/>
      </c>
      <c r="I255" s="273"/>
      <c r="J255" s="273"/>
      <c r="K255" s="30"/>
    </row>
    <row r="256" spans="1:11" ht="15" customHeight="1" x14ac:dyDescent="0.2">
      <c r="A256" s="279"/>
      <c r="B256" s="233" t="s">
        <v>905</v>
      </c>
      <c r="C256" s="231">
        <v>140</v>
      </c>
      <c r="D256" s="648"/>
      <c r="E256" s="676"/>
      <c r="F256" s="677"/>
      <c r="G256" s="625">
        <f>Parameters!E61</f>
        <v>0</v>
      </c>
      <c r="H256" s="666" t="str">
        <f>IF(AND(ISNUMBER(D256),ISNUMBER(G256)),D256*G256,"")</f>
        <v/>
      </c>
      <c r="I256" s="273"/>
      <c r="J256" s="273"/>
      <c r="K256" s="30"/>
    </row>
    <row r="257" spans="1:21" ht="15" customHeight="1" x14ac:dyDescent="0.2">
      <c r="A257" s="279"/>
      <c r="B257" s="233" t="s">
        <v>11</v>
      </c>
      <c r="C257" s="212"/>
      <c r="D257" s="681"/>
      <c r="E257" s="676"/>
      <c r="F257" s="677"/>
      <c r="G257" s="688"/>
      <c r="H257" s="688"/>
      <c r="I257" s="273"/>
      <c r="J257" s="273"/>
      <c r="K257" s="30"/>
    </row>
    <row r="258" spans="1:21" ht="15" customHeight="1" x14ac:dyDescent="0.2">
      <c r="A258" s="279"/>
      <c r="B258" s="251" t="s">
        <v>527</v>
      </c>
      <c r="C258" s="231">
        <v>140</v>
      </c>
      <c r="D258" s="648"/>
      <c r="E258" s="676"/>
      <c r="F258" s="677"/>
      <c r="G258" s="625">
        <f>Parameters!E63</f>
        <v>0</v>
      </c>
      <c r="H258" s="666" t="str">
        <f t="shared" ref="H258:H265" si="4">IF(AND(ISNUMBER(D258),ISNUMBER(G258)),D258*G258,"")</f>
        <v/>
      </c>
      <c r="I258" s="273"/>
      <c r="J258" s="273"/>
      <c r="K258" s="30"/>
    </row>
    <row r="259" spans="1:21" ht="15" customHeight="1" x14ac:dyDescent="0.2">
      <c r="A259" s="279"/>
      <c r="B259" s="251" t="s">
        <v>13</v>
      </c>
      <c r="C259" s="231">
        <v>140</v>
      </c>
      <c r="D259" s="648"/>
      <c r="E259" s="676"/>
      <c r="F259" s="677"/>
      <c r="G259" s="625">
        <f>Parameters!E64</f>
        <v>0</v>
      </c>
      <c r="H259" s="666" t="str">
        <f t="shared" si="4"/>
        <v/>
      </c>
      <c r="I259" s="273"/>
      <c r="J259" s="273"/>
      <c r="K259" s="30"/>
    </row>
    <row r="260" spans="1:21" ht="15" customHeight="1" x14ac:dyDescent="0.2">
      <c r="A260" s="279"/>
      <c r="B260" s="251" t="s">
        <v>771</v>
      </c>
      <c r="C260" s="231">
        <v>140</v>
      </c>
      <c r="D260" s="648"/>
      <c r="E260" s="676"/>
      <c r="F260" s="677"/>
      <c r="G260" s="625">
        <f>Parameters!E65</f>
        <v>0</v>
      </c>
      <c r="H260" s="666" t="str">
        <f t="shared" si="4"/>
        <v/>
      </c>
      <c r="I260" s="273"/>
      <c r="J260" s="273"/>
      <c r="K260" s="30"/>
    </row>
    <row r="261" spans="1:21" ht="15" customHeight="1" x14ac:dyDescent="0.2">
      <c r="A261" s="279"/>
      <c r="B261" s="251" t="s">
        <v>14</v>
      </c>
      <c r="C261" s="231">
        <v>140</v>
      </c>
      <c r="D261" s="648"/>
      <c r="E261" s="676"/>
      <c r="F261" s="677"/>
      <c r="G261" s="625">
        <f>Parameters!E66</f>
        <v>0</v>
      </c>
      <c r="H261" s="666" t="str">
        <f t="shared" si="4"/>
        <v/>
      </c>
      <c r="I261" s="273"/>
      <c r="J261" s="273"/>
      <c r="K261" s="30"/>
    </row>
    <row r="262" spans="1:21" ht="15" customHeight="1" x14ac:dyDescent="0.2">
      <c r="A262" s="279"/>
      <c r="B262" s="233" t="s">
        <v>15</v>
      </c>
      <c r="C262" s="231">
        <v>140</v>
      </c>
      <c r="D262" s="648"/>
      <c r="E262" s="676"/>
      <c r="F262" s="677"/>
      <c r="G262" s="625">
        <f>Parameters!E67</f>
        <v>0</v>
      </c>
      <c r="H262" s="666" t="str">
        <f t="shared" si="4"/>
        <v/>
      </c>
      <c r="I262" s="273"/>
      <c r="J262" s="273"/>
      <c r="K262" s="30"/>
    </row>
    <row r="263" spans="1:21" ht="15" customHeight="1" x14ac:dyDescent="0.2">
      <c r="A263" s="279"/>
      <c r="B263" s="233" t="s">
        <v>906</v>
      </c>
      <c r="C263" s="231">
        <v>140</v>
      </c>
      <c r="D263" s="648"/>
      <c r="E263" s="676"/>
      <c r="F263" s="677"/>
      <c r="G263" s="625">
        <f>Parameters!E68</f>
        <v>0.5</v>
      </c>
      <c r="H263" s="666" t="str">
        <f t="shared" si="4"/>
        <v/>
      </c>
      <c r="I263" s="273"/>
      <c r="J263" s="273"/>
      <c r="K263" s="30"/>
    </row>
    <row r="264" spans="1:21" ht="15" customHeight="1" x14ac:dyDescent="0.2">
      <c r="A264" s="279"/>
      <c r="B264" s="233" t="s">
        <v>907</v>
      </c>
      <c r="C264" s="231">
        <v>147</v>
      </c>
      <c r="D264" s="648"/>
      <c r="E264" s="676"/>
      <c r="F264" s="677"/>
      <c r="G264" s="625">
        <v>0</v>
      </c>
      <c r="H264" s="666" t="str">
        <f t="shared" si="4"/>
        <v/>
      </c>
      <c r="I264" s="273"/>
      <c r="J264" s="273"/>
      <c r="K264" s="30"/>
    </row>
    <row r="265" spans="1:21" ht="30" customHeight="1" x14ac:dyDescent="0.2">
      <c r="A265" s="279"/>
      <c r="B265" s="233" t="s">
        <v>908</v>
      </c>
      <c r="C265" s="231" t="s">
        <v>910</v>
      </c>
      <c r="D265" s="648"/>
      <c r="E265" s="676"/>
      <c r="F265" s="677"/>
      <c r="G265" s="625">
        <v>1</v>
      </c>
      <c r="H265" s="666" t="str">
        <f t="shared" si="4"/>
        <v/>
      </c>
      <c r="I265" s="273"/>
      <c r="J265" s="273"/>
      <c r="K265" s="30"/>
    </row>
    <row r="266" spans="1:21" ht="15" customHeight="1" x14ac:dyDescent="0.2">
      <c r="A266" s="279"/>
      <c r="B266" s="258" t="s">
        <v>684</v>
      </c>
      <c r="C266" s="237"/>
      <c r="D266" s="681"/>
      <c r="E266" s="676"/>
      <c r="F266" s="677"/>
      <c r="G266" s="688"/>
      <c r="H266" s="665" t="str">
        <f>IF(AND(ISNUMBER(H253),ISNUMBER(H254),ISNUMBER(H255),ISNUMBER(H256),ISNUMBER(H258),ISNUMBER(H259),ISNUMBER(H260),ISNUMBER(H261),ISNUMBER(H262),ISNUMBER(H263),ISNUMBER(H264),ISNUMBER(H265)),SUM(H253:H256,H258:H265),"")</f>
        <v/>
      </c>
      <c r="I266" s="273"/>
      <c r="J266" s="273"/>
      <c r="K266" s="30"/>
    </row>
    <row r="267" spans="1:21" s="267" customFormat="1" ht="45" customHeight="1" x14ac:dyDescent="0.25">
      <c r="A267" s="81" t="s">
        <v>545</v>
      </c>
      <c r="B267" s="81"/>
      <c r="C267" s="271"/>
      <c r="D267" s="271"/>
      <c r="E267" s="272"/>
      <c r="F267" s="273"/>
      <c r="G267" s="273"/>
      <c r="H267" s="273"/>
      <c r="I267" s="273"/>
      <c r="J267" s="273"/>
      <c r="K267" s="30"/>
      <c r="L267" s="273"/>
      <c r="M267" s="273"/>
      <c r="N267" s="273"/>
      <c r="O267" s="273"/>
      <c r="P267" s="273"/>
      <c r="Q267" s="273"/>
      <c r="R267" s="273"/>
      <c r="S267" s="273"/>
      <c r="T267" s="273"/>
      <c r="U267" s="273"/>
    </row>
    <row r="268" spans="1:21" s="267" customFormat="1" ht="15" customHeight="1" x14ac:dyDescent="0.25">
      <c r="A268" s="81"/>
      <c r="B268" s="81"/>
      <c r="C268" s="271"/>
      <c r="D268" s="271"/>
      <c r="E268" s="272"/>
      <c r="F268" s="273"/>
      <c r="G268" s="273"/>
      <c r="H268" s="273"/>
      <c r="I268" s="273"/>
      <c r="J268" s="273"/>
      <c r="K268" s="30"/>
      <c r="L268" s="273"/>
      <c r="M268" s="273"/>
      <c r="N268" s="273"/>
      <c r="O268" s="273"/>
      <c r="P268" s="273"/>
      <c r="Q268" s="273"/>
      <c r="R268" s="273"/>
      <c r="S268" s="273"/>
      <c r="T268" s="273"/>
      <c r="U268" s="273"/>
    </row>
    <row r="269" spans="1:21" ht="15" customHeight="1" x14ac:dyDescent="0.2">
      <c r="A269" s="282"/>
      <c r="B269" s="244" t="s">
        <v>66</v>
      </c>
      <c r="C269" s="241"/>
      <c r="D269" s="241"/>
      <c r="E269" s="241"/>
      <c r="F269" s="241"/>
      <c r="G269" s="241"/>
      <c r="H269" s="297" t="str">
        <f>IF(AND(ISNUMBER(H108),ISNUMBER(H166),ISNUMBER(H210),ISNUMBER(H250),ISNUMBER(H266),ISNUMBER(H430)),H108+H166+H210+H250+H266+H430,"")</f>
        <v/>
      </c>
      <c r="I269" s="273"/>
      <c r="J269" s="273"/>
      <c r="K269" s="30"/>
    </row>
    <row r="270" spans="1:21" s="267" customFormat="1" ht="45" customHeight="1" x14ac:dyDescent="0.25">
      <c r="A270" s="81" t="s">
        <v>373</v>
      </c>
      <c r="B270" s="81"/>
      <c r="C270" s="271"/>
      <c r="D270" s="271"/>
      <c r="E270" s="299"/>
      <c r="F270" s="273"/>
      <c r="G270" s="273"/>
      <c r="H270" s="273"/>
      <c r="I270" s="273"/>
      <c r="J270" s="273"/>
      <c r="K270" s="30"/>
      <c r="L270" s="273"/>
      <c r="M270" s="273"/>
      <c r="N270" s="273"/>
      <c r="O270" s="273"/>
      <c r="P270" s="273"/>
      <c r="Q270" s="273"/>
      <c r="R270" s="273"/>
      <c r="S270" s="273"/>
      <c r="T270" s="273"/>
      <c r="U270" s="273"/>
    </row>
    <row r="271" spans="1:21" s="267" customFormat="1" ht="30" customHeight="1" x14ac:dyDescent="0.25">
      <c r="A271" s="81" t="s">
        <v>916</v>
      </c>
      <c r="B271" s="81"/>
      <c r="C271" s="271"/>
      <c r="D271" s="271"/>
      <c r="E271" s="272"/>
      <c r="F271" s="273"/>
      <c r="G271" s="273"/>
      <c r="H271" s="273"/>
      <c r="I271" s="273"/>
      <c r="J271" s="273"/>
      <c r="K271" s="30"/>
      <c r="L271" s="273"/>
      <c r="M271" s="273"/>
      <c r="N271" s="273"/>
      <c r="O271" s="273"/>
      <c r="P271" s="273"/>
      <c r="Q271" s="273"/>
      <c r="R271" s="273"/>
      <c r="S271" s="273"/>
      <c r="T271" s="273"/>
      <c r="U271" s="273"/>
    </row>
    <row r="272" spans="1:21" ht="45" customHeight="1" x14ac:dyDescent="0.2">
      <c r="A272" s="279"/>
      <c r="B272" s="238"/>
      <c r="C272" s="281" t="s">
        <v>986</v>
      </c>
      <c r="D272" s="281" t="s">
        <v>16</v>
      </c>
      <c r="E272" s="281" t="s">
        <v>17</v>
      </c>
      <c r="F272" s="301"/>
      <c r="G272" s="281" t="s">
        <v>678</v>
      </c>
      <c r="H272" s="281" t="s">
        <v>679</v>
      </c>
      <c r="I272" s="273"/>
      <c r="J272" s="273"/>
      <c r="K272" s="30"/>
    </row>
    <row r="273" spans="1:11" ht="15" customHeight="1" x14ac:dyDescent="0.2">
      <c r="A273" s="279"/>
      <c r="B273" s="229" t="s">
        <v>18</v>
      </c>
      <c r="C273" s="231" t="s">
        <v>918</v>
      </c>
      <c r="D273" s="681"/>
      <c r="E273" s="681"/>
      <c r="F273" s="694"/>
      <c r="G273" s="681"/>
      <c r="H273" s="681"/>
      <c r="I273" s="273"/>
      <c r="J273" s="273"/>
      <c r="K273" s="30"/>
    </row>
    <row r="274" spans="1:11" ht="30" customHeight="1" x14ac:dyDescent="0.2">
      <c r="A274" s="279"/>
      <c r="B274" s="251" t="s">
        <v>1011</v>
      </c>
      <c r="C274" s="231" t="s">
        <v>918</v>
      </c>
      <c r="D274" s="681"/>
      <c r="E274" s="681"/>
      <c r="F274" s="694"/>
      <c r="G274" s="681"/>
      <c r="H274" s="681"/>
      <c r="I274" s="273"/>
      <c r="J274" s="273"/>
      <c r="K274" s="30"/>
    </row>
    <row r="275" spans="1:11" ht="15" customHeight="1" x14ac:dyDescent="0.2">
      <c r="A275" s="279"/>
      <c r="B275" s="254" t="s">
        <v>156</v>
      </c>
      <c r="C275" s="231" t="s">
        <v>918</v>
      </c>
      <c r="D275" s="648"/>
      <c r="E275" s="648"/>
      <c r="F275" s="694"/>
      <c r="G275" s="625">
        <v>0</v>
      </c>
      <c r="H275" s="666" t="str">
        <f>IF(AND(ISNUMBER(D275),ISNUMBER(G275)),D275*G275,"")</f>
        <v/>
      </c>
      <c r="I275" s="273"/>
      <c r="J275" s="273"/>
      <c r="K275" s="30"/>
    </row>
    <row r="276" spans="1:11" ht="15" customHeight="1" x14ac:dyDescent="0.2">
      <c r="A276" s="279"/>
      <c r="B276" s="255" t="s">
        <v>157</v>
      </c>
      <c r="C276" s="231" t="s">
        <v>918</v>
      </c>
      <c r="D276" s="648"/>
      <c r="E276" s="648"/>
      <c r="F276" s="694"/>
      <c r="G276" s="681"/>
      <c r="H276" s="681"/>
      <c r="I276" s="29"/>
      <c r="J276" s="29"/>
      <c r="K276" s="30"/>
    </row>
    <row r="277" spans="1:11" ht="15" customHeight="1" x14ac:dyDescent="0.2">
      <c r="A277" s="279"/>
      <c r="B277" s="488" t="str">
        <f>CONCATENATE("Check: row ", ROW(B276), " ≤ row ", ROW(LCR!B275),)</f>
        <v>Check: row 276 ≤ row 275</v>
      </c>
      <c r="C277" s="237"/>
      <c r="D277" s="495" t="str">
        <f>IF((D276&lt;=D275),"Pass","Fail")</f>
        <v>Pass</v>
      </c>
      <c r="E277" s="495" t="str">
        <f>IF((E276&lt;=E275),"Pass","Fail")</f>
        <v>Pass</v>
      </c>
      <c r="F277" s="301"/>
      <c r="G277" s="212"/>
      <c r="H277" s="212"/>
      <c r="I277" s="29"/>
      <c r="J277" s="29"/>
      <c r="K277" s="30"/>
    </row>
    <row r="278" spans="1:11" ht="15" customHeight="1" x14ac:dyDescent="0.2">
      <c r="A278" s="279"/>
      <c r="B278" s="254" t="s">
        <v>888</v>
      </c>
      <c r="C278" s="231" t="s">
        <v>918</v>
      </c>
      <c r="D278" s="648"/>
      <c r="E278" s="648"/>
      <c r="F278" s="492"/>
      <c r="G278" s="625">
        <v>0.15</v>
      </c>
      <c r="H278" s="666" t="str">
        <f>IF(AND(ISNUMBER(D278),ISNUMBER(G278)),D278*G278,"")</f>
        <v/>
      </c>
      <c r="I278" s="273"/>
      <c r="J278" s="273"/>
      <c r="K278" s="30"/>
    </row>
    <row r="279" spans="1:11" s="498" customFormat="1" ht="15" customHeight="1" x14ac:dyDescent="0.2">
      <c r="A279" s="282"/>
      <c r="B279" s="255" t="s">
        <v>157</v>
      </c>
      <c r="C279" s="231" t="s">
        <v>918</v>
      </c>
      <c r="D279" s="648"/>
      <c r="E279" s="648"/>
      <c r="F279" s="492"/>
      <c r="G279" s="681"/>
      <c r="H279" s="681"/>
      <c r="I279" s="496"/>
      <c r="J279" s="496"/>
      <c r="K279" s="497"/>
    </row>
    <row r="280" spans="1:11" s="498" customFormat="1" ht="15" customHeight="1" x14ac:dyDescent="0.2">
      <c r="A280" s="282"/>
      <c r="B280" s="488" t="str">
        <f>CONCATENATE("Check: row ", ROW(B279), " ≤ row ", ROW(LCR!B278),)</f>
        <v>Check: row 279 ≤ row 278</v>
      </c>
      <c r="C280" s="621"/>
      <c r="D280" s="495" t="str">
        <f>IF((D279&lt;=D278),"Pass","Fail")</f>
        <v>Pass</v>
      </c>
      <c r="E280" s="495" t="str">
        <f>IF((E279&lt;=E278),"Pass","Fail")</f>
        <v>Pass</v>
      </c>
      <c r="F280" s="301"/>
      <c r="G280" s="212"/>
      <c r="H280" s="212"/>
      <c r="I280" s="496"/>
      <c r="J280" s="496"/>
      <c r="K280" s="497"/>
    </row>
    <row r="281" spans="1:11" s="498" customFormat="1" ht="15" customHeight="1" x14ac:dyDescent="0.2">
      <c r="A281" s="282"/>
      <c r="B281" s="254" t="s">
        <v>889</v>
      </c>
      <c r="C281" s="231" t="s">
        <v>918</v>
      </c>
      <c r="D281" s="649"/>
      <c r="E281" s="649"/>
      <c r="F281" s="492"/>
      <c r="G281" s="625">
        <v>0.25</v>
      </c>
      <c r="H281" s="666" t="str">
        <f>IF(AND(ISNUMBER(D281),ISNUMBER(G281)),D281*G281,"")</f>
        <v/>
      </c>
      <c r="I281" s="496"/>
      <c r="J281" s="496"/>
      <c r="K281" s="497"/>
    </row>
    <row r="282" spans="1:11" s="498" customFormat="1" ht="15" customHeight="1" x14ac:dyDescent="0.2">
      <c r="A282" s="282"/>
      <c r="B282" s="255" t="s">
        <v>157</v>
      </c>
      <c r="C282" s="231" t="s">
        <v>918</v>
      </c>
      <c r="D282" s="649"/>
      <c r="E282" s="649"/>
      <c r="F282" s="492"/>
      <c r="G282" s="681"/>
      <c r="H282" s="681"/>
      <c r="I282" s="496"/>
      <c r="J282" s="496"/>
      <c r="K282" s="497"/>
    </row>
    <row r="283" spans="1:11" s="498" customFormat="1" ht="15" customHeight="1" x14ac:dyDescent="0.2">
      <c r="A283" s="282"/>
      <c r="B283" s="488" t="str">
        <f>CONCATENATE("Check: row ", ROW(B282), " ≤ row ", ROW(LCR!B281),)</f>
        <v>Check: row 282 ≤ row 281</v>
      </c>
      <c r="C283" s="621"/>
      <c r="D283" s="495" t="str">
        <f>IF((D282&lt;=D281),"Pass","Fail")</f>
        <v>Pass</v>
      </c>
      <c r="E283" s="495" t="str">
        <f>IF((E282&lt;=E281),"Pass","Fail")</f>
        <v>Pass</v>
      </c>
      <c r="F283" s="301"/>
      <c r="G283" s="212"/>
      <c r="H283" s="212"/>
      <c r="I283" s="496"/>
      <c r="J283" s="496"/>
      <c r="K283" s="497"/>
    </row>
    <row r="284" spans="1:11" s="498" customFormat="1" ht="15" customHeight="1" x14ac:dyDescent="0.2">
      <c r="A284" s="282"/>
      <c r="B284" s="254" t="s">
        <v>890</v>
      </c>
      <c r="C284" s="231" t="s">
        <v>918</v>
      </c>
      <c r="D284" s="322"/>
      <c r="E284" s="322"/>
      <c r="F284" s="301"/>
      <c r="G284" s="283">
        <v>0.5</v>
      </c>
      <c r="H284" s="284" t="str">
        <f>IF(AND(ISNUMBER(D284),ISNUMBER(G284)),D284*G284,"")</f>
        <v/>
      </c>
      <c r="I284" s="496"/>
      <c r="J284" s="496"/>
      <c r="K284" s="497"/>
    </row>
    <row r="285" spans="1:11" s="498" customFormat="1" ht="15" customHeight="1" x14ac:dyDescent="0.2">
      <c r="A285" s="282"/>
      <c r="B285" s="255" t="s">
        <v>157</v>
      </c>
      <c r="C285" s="231" t="s">
        <v>918</v>
      </c>
      <c r="D285" s="322"/>
      <c r="E285" s="322"/>
      <c r="F285" s="301"/>
      <c r="G285" s="212"/>
      <c r="H285" s="212"/>
      <c r="I285" s="496"/>
      <c r="J285" s="496"/>
      <c r="K285" s="497"/>
    </row>
    <row r="286" spans="1:11" s="498" customFormat="1" ht="15" customHeight="1" x14ac:dyDescent="0.2">
      <c r="A286" s="282"/>
      <c r="B286" s="488" t="str">
        <f>CONCATENATE("Check: row ", ROW(B285), " ≤ row ", ROW(LCR!B284),)</f>
        <v>Check: row 285 ≤ row 284</v>
      </c>
      <c r="C286" s="621"/>
      <c r="D286" s="495" t="str">
        <f>IF((D285&lt;=D284),"Pass","Fail")</f>
        <v>Pass</v>
      </c>
      <c r="E286" s="495" t="str">
        <f>IF((E285&lt;=E284),"Pass","Fail")</f>
        <v>Pass</v>
      </c>
      <c r="F286" s="301"/>
      <c r="G286" s="212"/>
      <c r="H286" s="212"/>
      <c r="I286" s="496"/>
      <c r="J286" s="496"/>
      <c r="K286" s="497"/>
    </row>
    <row r="287" spans="1:11" s="498" customFormat="1" ht="15" customHeight="1" x14ac:dyDescent="0.2">
      <c r="A287" s="282"/>
      <c r="B287" s="254" t="s">
        <v>919</v>
      </c>
      <c r="C287" s="231" t="s">
        <v>918</v>
      </c>
      <c r="D287" s="648"/>
      <c r="E287" s="648"/>
      <c r="F287" s="492"/>
      <c r="G287" s="625">
        <v>0.5</v>
      </c>
      <c r="H287" s="666" t="str">
        <f>IF(AND(ISNUMBER(D287),ISNUMBER(G287)),D287*G287,"")</f>
        <v/>
      </c>
      <c r="I287" s="496"/>
      <c r="J287" s="496"/>
      <c r="K287" s="497"/>
    </row>
    <row r="288" spans="1:11" ht="15" customHeight="1" x14ac:dyDescent="0.2">
      <c r="A288" s="279"/>
      <c r="B288" s="254" t="s">
        <v>32</v>
      </c>
      <c r="C288" s="231" t="s">
        <v>918</v>
      </c>
      <c r="D288" s="648"/>
      <c r="E288" s="648"/>
      <c r="F288" s="492"/>
      <c r="G288" s="625">
        <v>1</v>
      </c>
      <c r="H288" s="666" t="str">
        <f>IF(AND(ISNUMBER(D288),ISNUMBER(G288)),D288*G288,"")</f>
        <v/>
      </c>
      <c r="I288" s="273"/>
      <c r="J288" s="273"/>
      <c r="K288" s="30"/>
    </row>
    <row r="289" spans="1:21" ht="30" customHeight="1" x14ac:dyDescent="0.2">
      <c r="A289" s="279"/>
      <c r="B289" s="251" t="s">
        <v>1012</v>
      </c>
      <c r="C289" s="231" t="s">
        <v>918</v>
      </c>
      <c r="D289" s="681"/>
      <c r="E289" s="681"/>
      <c r="F289" s="492"/>
      <c r="G289" s="681"/>
      <c r="H289" s="681"/>
      <c r="I289" s="273"/>
      <c r="J289" s="273"/>
      <c r="K289" s="30"/>
    </row>
    <row r="290" spans="1:21" ht="15" customHeight="1" x14ac:dyDescent="0.2">
      <c r="A290" s="279"/>
      <c r="B290" s="254" t="s">
        <v>31</v>
      </c>
      <c r="C290" s="231" t="s">
        <v>918</v>
      </c>
      <c r="D290" s="648"/>
      <c r="E290" s="648"/>
      <c r="F290" s="492"/>
      <c r="G290" s="625">
        <v>0</v>
      </c>
      <c r="H290" s="666" t="str">
        <f t="shared" ref="H290:H295" si="5">IF(AND(ISNUMBER(D290),ISNUMBER(G290)),D290*G290,"")</f>
        <v/>
      </c>
      <c r="I290" s="273"/>
      <c r="J290" s="273"/>
      <c r="K290" s="30"/>
    </row>
    <row r="291" spans="1:21" ht="15" customHeight="1" x14ac:dyDescent="0.2">
      <c r="A291" s="279"/>
      <c r="B291" s="254" t="s">
        <v>917</v>
      </c>
      <c r="C291" s="231" t="s">
        <v>918</v>
      </c>
      <c r="D291" s="648"/>
      <c r="E291" s="648"/>
      <c r="F291" s="492"/>
      <c r="G291" s="625">
        <v>0</v>
      </c>
      <c r="H291" s="666" t="str">
        <f t="shared" si="5"/>
        <v/>
      </c>
      <c r="I291" s="273"/>
      <c r="J291" s="273"/>
      <c r="K291" s="30"/>
    </row>
    <row r="292" spans="1:21" ht="15" customHeight="1" x14ac:dyDescent="0.2">
      <c r="A292" s="279"/>
      <c r="B292" s="254" t="s">
        <v>920</v>
      </c>
      <c r="C292" s="231" t="s">
        <v>918</v>
      </c>
      <c r="D292" s="649"/>
      <c r="E292" s="649"/>
      <c r="F292" s="492"/>
      <c r="G292" s="625">
        <v>0</v>
      </c>
      <c r="H292" s="666" t="str">
        <f t="shared" si="5"/>
        <v/>
      </c>
      <c r="I292" s="273"/>
      <c r="J292" s="273"/>
      <c r="K292" s="30"/>
    </row>
    <row r="293" spans="1:21" ht="15" customHeight="1" x14ac:dyDescent="0.2">
      <c r="A293" s="279"/>
      <c r="B293" s="254" t="s">
        <v>921</v>
      </c>
      <c r="C293" s="231" t="s">
        <v>918</v>
      </c>
      <c r="D293" s="649"/>
      <c r="E293" s="649"/>
      <c r="F293" s="492"/>
      <c r="G293" s="625">
        <v>0</v>
      </c>
      <c r="H293" s="666" t="str">
        <f t="shared" si="5"/>
        <v/>
      </c>
      <c r="I293" s="273"/>
      <c r="J293" s="273"/>
      <c r="K293" s="30"/>
    </row>
    <row r="294" spans="1:21" ht="15" customHeight="1" x14ac:dyDescent="0.2">
      <c r="A294" s="279"/>
      <c r="B294" s="254" t="s">
        <v>919</v>
      </c>
      <c r="C294" s="231" t="s">
        <v>918</v>
      </c>
      <c r="D294" s="648"/>
      <c r="E294" s="648"/>
      <c r="F294" s="492"/>
      <c r="G294" s="625">
        <v>0</v>
      </c>
      <c r="H294" s="666" t="str">
        <f t="shared" si="5"/>
        <v/>
      </c>
      <c r="I294" s="273"/>
      <c r="J294" s="273"/>
      <c r="K294" s="30"/>
    </row>
    <row r="295" spans="1:21" ht="15" customHeight="1" x14ac:dyDescent="0.2">
      <c r="A295" s="279"/>
      <c r="B295" s="254" t="s">
        <v>32</v>
      </c>
      <c r="C295" s="231" t="s">
        <v>918</v>
      </c>
      <c r="D295" s="648"/>
      <c r="E295" s="648"/>
      <c r="F295" s="492"/>
      <c r="G295" s="625">
        <v>0</v>
      </c>
      <c r="H295" s="666" t="str">
        <f t="shared" si="5"/>
        <v/>
      </c>
      <c r="I295" s="273"/>
      <c r="J295" s="273"/>
      <c r="K295" s="30"/>
    </row>
    <row r="296" spans="1:21" ht="15" customHeight="1" x14ac:dyDescent="0.2">
      <c r="A296" s="279"/>
      <c r="B296" s="232" t="s">
        <v>19</v>
      </c>
      <c r="C296" s="621"/>
      <c r="D296" s="681"/>
      <c r="E296" s="681"/>
      <c r="F296" s="492"/>
      <c r="G296" s="681"/>
      <c r="H296" s="665" t="str">
        <f>IF(AND(ISNUMBER(H275),ISNUMBER(H278),ISNUMBER(H287),ISNUMBER(H288),ISNUMBER(H290),ISNUMBER(H291),ISNUMBER(H294),ISNUMBER(H295)),SUM(H275,H278,H281,H284,H287:H288,H290:H295),"")</f>
        <v/>
      </c>
      <c r="I296" s="273"/>
      <c r="J296" s="273"/>
      <c r="K296" s="30"/>
    </row>
    <row r="297" spans="1:21" s="267" customFormat="1" ht="45" customHeight="1" x14ac:dyDescent="0.25">
      <c r="A297" s="81" t="s">
        <v>67</v>
      </c>
      <c r="B297" s="81"/>
      <c r="C297" s="271"/>
      <c r="D297" s="271"/>
      <c r="E297" s="272"/>
      <c r="F297" s="273"/>
      <c r="G297" s="273"/>
      <c r="H297" s="273"/>
      <c r="I297" s="273"/>
      <c r="J297" s="273"/>
      <c r="K297" s="30"/>
      <c r="L297" s="273"/>
      <c r="M297" s="273"/>
      <c r="N297" s="273"/>
      <c r="O297" s="273"/>
      <c r="P297" s="273"/>
      <c r="Q297" s="273"/>
      <c r="R297" s="273"/>
      <c r="S297" s="273"/>
      <c r="T297" s="273"/>
      <c r="U297" s="273"/>
    </row>
    <row r="298" spans="1:21" ht="15" customHeight="1" x14ac:dyDescent="0.25">
      <c r="A298" s="282"/>
      <c r="B298" s="213"/>
      <c r="C298" s="214"/>
      <c r="D298" s="215"/>
      <c r="E298" s="278"/>
      <c r="F298" s="216"/>
      <c r="G298" s="278"/>
      <c r="H298" s="278"/>
      <c r="I298" s="273"/>
      <c r="J298" s="273"/>
      <c r="K298" s="30"/>
    </row>
    <row r="299" spans="1:21" ht="30" customHeight="1" x14ac:dyDescent="0.2">
      <c r="A299" s="279"/>
      <c r="B299" s="238"/>
      <c r="C299" s="281" t="s">
        <v>986</v>
      </c>
      <c r="D299" s="281" t="s">
        <v>643</v>
      </c>
      <c r="E299" s="318"/>
      <c r="F299" s="319"/>
      <c r="G299" s="281" t="s">
        <v>678</v>
      </c>
      <c r="H299" s="281" t="s">
        <v>679</v>
      </c>
      <c r="I299" s="273"/>
      <c r="J299" s="273"/>
      <c r="K299" s="30"/>
    </row>
    <row r="300" spans="1:21" ht="15" customHeight="1" x14ac:dyDescent="0.2">
      <c r="A300" s="279"/>
      <c r="B300" s="229" t="str">
        <f>CONCATENATE("Contractual inflows due in ≤ 30 days from fully performing loans, not reported in lines ", ROW(B275), " to ", ROW(B295), ", from:")</f>
        <v>Contractual inflows due in ≤ 30 days from fully performing loans, not reported in lines 275 to 295, from:</v>
      </c>
      <c r="C300" s="237"/>
      <c r="D300" s="681"/>
      <c r="E300" s="556"/>
      <c r="F300" s="555"/>
      <c r="G300" s="681"/>
      <c r="H300" s="681"/>
      <c r="I300" s="273"/>
      <c r="J300" s="273"/>
      <c r="K300" s="30"/>
    </row>
    <row r="301" spans="1:21" ht="15" customHeight="1" x14ac:dyDescent="0.2">
      <c r="A301" s="279"/>
      <c r="B301" s="251" t="s">
        <v>20</v>
      </c>
      <c r="C301" s="231">
        <v>153</v>
      </c>
      <c r="D301" s="648"/>
      <c r="E301" s="556"/>
      <c r="F301" s="555"/>
      <c r="G301" s="625">
        <v>0.5</v>
      </c>
      <c r="H301" s="666" t="str">
        <f>IF(AND(ISNUMBER(D301),ISNUMBER(G301)),D301*G301,"")</f>
        <v/>
      </c>
      <c r="I301" s="273"/>
      <c r="J301" s="273"/>
      <c r="K301" s="30"/>
    </row>
    <row r="302" spans="1:21" ht="15" customHeight="1" x14ac:dyDescent="0.2">
      <c r="A302" s="279"/>
      <c r="B302" s="251" t="s">
        <v>21</v>
      </c>
      <c r="C302" s="231">
        <v>153</v>
      </c>
      <c r="D302" s="648"/>
      <c r="E302" s="556"/>
      <c r="F302" s="555"/>
      <c r="G302" s="625">
        <v>0.5</v>
      </c>
      <c r="H302" s="666" t="str">
        <f>IF(AND(ISNUMBER(D302),ISNUMBER(G302)),D302*G302,"")</f>
        <v/>
      </c>
      <c r="I302" s="273"/>
      <c r="J302" s="273"/>
      <c r="K302" s="30"/>
    </row>
    <row r="303" spans="1:21" ht="15" customHeight="1" x14ac:dyDescent="0.2">
      <c r="A303" s="279"/>
      <c r="B303" s="251" t="s">
        <v>45</v>
      </c>
      <c r="C303" s="231">
        <v>154</v>
      </c>
      <c r="D303" s="648"/>
      <c r="E303" s="556"/>
      <c r="F303" s="555"/>
      <c r="G303" s="625">
        <v>0.5</v>
      </c>
      <c r="H303" s="666" t="str">
        <f>IF(AND(ISNUMBER(D303),ISNUMBER(G303)),D303*G303,"")</f>
        <v/>
      </c>
      <c r="I303" s="273"/>
      <c r="J303" s="273"/>
      <c r="K303" s="30"/>
    </row>
    <row r="304" spans="1:21" ht="15" customHeight="1" x14ac:dyDescent="0.2">
      <c r="A304" s="279"/>
      <c r="B304" s="251" t="s">
        <v>494</v>
      </c>
      <c r="C304" s="231">
        <v>154</v>
      </c>
      <c r="D304" s="648"/>
      <c r="E304" s="556"/>
      <c r="F304" s="555"/>
      <c r="G304" s="625">
        <v>1</v>
      </c>
      <c r="H304" s="666" t="str">
        <f>IF(AND(ISNUMBER(D304),ISNUMBER(G304)),D304*G304,"")</f>
        <v/>
      </c>
      <c r="I304" s="273"/>
      <c r="J304" s="273"/>
      <c r="K304" s="30"/>
    </row>
    <row r="305" spans="1:21" ht="15" customHeight="1" x14ac:dyDescent="0.2">
      <c r="A305" s="279"/>
      <c r="B305" s="251" t="s">
        <v>46</v>
      </c>
      <c r="C305" s="231">
        <v>154</v>
      </c>
      <c r="D305" s="681"/>
      <c r="E305" s="556"/>
      <c r="F305" s="555"/>
      <c r="G305" s="681"/>
      <c r="H305" s="681"/>
      <c r="I305" s="273"/>
      <c r="J305" s="273"/>
      <c r="K305" s="30"/>
    </row>
    <row r="306" spans="1:21" ht="15" customHeight="1" x14ac:dyDescent="0.2">
      <c r="A306" s="279"/>
      <c r="B306" s="254" t="s">
        <v>983</v>
      </c>
      <c r="C306" s="231">
        <v>156</v>
      </c>
      <c r="D306" s="648"/>
      <c r="E306" s="556"/>
      <c r="F306" s="555"/>
      <c r="G306" s="625">
        <v>0</v>
      </c>
      <c r="H306" s="666" t="str">
        <f>IF(AND(ISNUMBER(D306),ISNUMBER(G306)),D306*G306,"")</f>
        <v/>
      </c>
      <c r="I306" s="273"/>
      <c r="J306" s="273"/>
      <c r="K306" s="30"/>
    </row>
    <row r="307" spans="1:21" ht="15" customHeight="1" x14ac:dyDescent="0.2">
      <c r="A307" s="279"/>
      <c r="B307" s="254" t="s">
        <v>47</v>
      </c>
      <c r="C307" s="231">
        <v>157</v>
      </c>
      <c r="D307" s="648"/>
      <c r="E307" s="556"/>
      <c r="F307" s="555"/>
      <c r="G307" s="625">
        <v>0</v>
      </c>
      <c r="H307" s="666" t="str">
        <f>IF(AND(ISNUMBER(D307),ISNUMBER(G307)),D307*G307,"")</f>
        <v/>
      </c>
      <c r="I307" s="273"/>
      <c r="J307" s="273"/>
      <c r="K307" s="30"/>
    </row>
    <row r="308" spans="1:21" ht="15" customHeight="1" x14ac:dyDescent="0.2">
      <c r="A308" s="279"/>
      <c r="B308" s="254" t="s">
        <v>984</v>
      </c>
      <c r="C308" s="231">
        <v>154</v>
      </c>
      <c r="D308" s="648"/>
      <c r="E308" s="556"/>
      <c r="F308" s="555"/>
      <c r="G308" s="625">
        <v>1</v>
      </c>
      <c r="H308" s="666" t="str">
        <f>IF(AND(ISNUMBER(D308),ISNUMBER(G308)),D308*G308,"")</f>
        <v/>
      </c>
      <c r="I308" s="273"/>
      <c r="J308" s="273"/>
      <c r="K308" s="30"/>
    </row>
    <row r="309" spans="1:21" ht="15" customHeight="1" x14ac:dyDescent="0.2">
      <c r="A309" s="279"/>
      <c r="B309" s="251" t="s">
        <v>48</v>
      </c>
      <c r="C309" s="231">
        <v>154</v>
      </c>
      <c r="D309" s="648"/>
      <c r="E309" s="556"/>
      <c r="F309" s="555"/>
      <c r="G309" s="625">
        <v>0.5</v>
      </c>
      <c r="H309" s="666" t="str">
        <f>IF(AND(ISNUMBER(D309),ISNUMBER(G309)),D309*G309,"")</f>
        <v/>
      </c>
      <c r="I309" s="273"/>
      <c r="J309" s="273"/>
      <c r="K309" s="30"/>
    </row>
    <row r="310" spans="1:21" ht="15" customHeight="1" x14ac:dyDescent="0.2">
      <c r="A310" s="279"/>
      <c r="B310" s="232" t="s">
        <v>49</v>
      </c>
      <c r="C310" s="237"/>
      <c r="D310" s="681"/>
      <c r="E310" s="556"/>
      <c r="F310" s="555"/>
      <c r="G310" s="681"/>
      <c r="H310" s="665" t="str">
        <f>IF(AND(ISNUMBER(H301),ISNUMBER(H302),ISNUMBER(H303),ISNUMBER(H304),ISNUMBER(H306),ISNUMBER(H307),ISNUMBER(H308),ISNUMBER(H309)),SUM(H301:H304,H306:H309),"")</f>
        <v/>
      </c>
      <c r="I310" s="273"/>
      <c r="J310" s="273"/>
      <c r="K310" s="30"/>
      <c r="L310" s="732"/>
    </row>
    <row r="311" spans="1:21" s="267" customFormat="1" ht="45" customHeight="1" x14ac:dyDescent="0.25">
      <c r="A311" s="81" t="s">
        <v>68</v>
      </c>
      <c r="B311" s="81"/>
      <c r="C311" s="271"/>
      <c r="D311" s="271"/>
      <c r="E311" s="272"/>
      <c r="F311" s="273"/>
      <c r="G311" s="273"/>
      <c r="H311" s="273"/>
      <c r="I311" s="273"/>
      <c r="J311" s="273"/>
      <c r="K311" s="30"/>
      <c r="L311" s="273"/>
      <c r="M311" s="273"/>
      <c r="N311" s="273"/>
      <c r="O311" s="273"/>
      <c r="P311" s="273"/>
      <c r="Q311" s="273"/>
      <c r="R311" s="273"/>
      <c r="S311" s="273"/>
      <c r="T311" s="273"/>
      <c r="U311" s="273"/>
    </row>
    <row r="312" spans="1:21" ht="15" customHeight="1" x14ac:dyDescent="0.2">
      <c r="A312" s="282"/>
      <c r="B312" s="220"/>
      <c r="C312" s="221"/>
      <c r="D312" s="277"/>
      <c r="E312" s="278"/>
      <c r="F312" s="278"/>
      <c r="G312" s="278"/>
      <c r="H312" s="278"/>
      <c r="I312" s="273"/>
      <c r="J312" s="273"/>
      <c r="K312" s="30"/>
    </row>
    <row r="313" spans="1:21" ht="30" customHeight="1" x14ac:dyDescent="0.2">
      <c r="A313" s="282"/>
      <c r="B313" s="238"/>
      <c r="C313" s="281" t="s">
        <v>986</v>
      </c>
      <c r="D313" s="281" t="s">
        <v>643</v>
      </c>
      <c r="E313" s="318"/>
      <c r="F313" s="319"/>
      <c r="G313" s="281" t="s">
        <v>678</v>
      </c>
      <c r="H313" s="281" t="s">
        <v>679</v>
      </c>
      <c r="I313" s="273"/>
      <c r="J313" s="273"/>
      <c r="K313" s="30"/>
    </row>
    <row r="314" spans="1:21" ht="15" customHeight="1" x14ac:dyDescent="0.2">
      <c r="A314" s="279"/>
      <c r="B314" s="233" t="s">
        <v>50</v>
      </c>
      <c r="C314" s="237"/>
      <c r="D314" s="681"/>
      <c r="E314" s="556"/>
      <c r="F314" s="555"/>
      <c r="G314" s="681"/>
      <c r="H314" s="681"/>
      <c r="I314" s="273"/>
      <c r="J314" s="273"/>
      <c r="K314" s="30"/>
    </row>
    <row r="315" spans="1:21" ht="15" customHeight="1" x14ac:dyDescent="0.2">
      <c r="A315" s="279"/>
      <c r="B315" s="251" t="s">
        <v>922</v>
      </c>
      <c r="C315" s="231" t="s">
        <v>923</v>
      </c>
      <c r="D315" s="648"/>
      <c r="E315" s="556"/>
      <c r="F315" s="555"/>
      <c r="G315" s="625">
        <v>1</v>
      </c>
      <c r="H315" s="666" t="str">
        <f>IF(AND(ISNUMBER(D315),ISNUMBER(G315)),D315*G315,"")</f>
        <v/>
      </c>
      <c r="I315" s="273"/>
      <c r="J315" s="273"/>
      <c r="K315" s="30"/>
    </row>
    <row r="316" spans="1:21" ht="15" customHeight="1" x14ac:dyDescent="0.2">
      <c r="A316" s="279"/>
      <c r="B316" s="251" t="s">
        <v>51</v>
      </c>
      <c r="C316" s="231">
        <v>155</v>
      </c>
      <c r="D316" s="648"/>
      <c r="E316" s="556"/>
      <c r="F316" s="555"/>
      <c r="G316" s="625">
        <v>1</v>
      </c>
      <c r="H316" s="666" t="str">
        <f>IF(AND(ISNUMBER(D316),ISNUMBER(G316)),D316*G316,"")</f>
        <v/>
      </c>
      <c r="I316" s="273"/>
      <c r="J316" s="273"/>
      <c r="K316" s="30"/>
    </row>
    <row r="317" spans="1:21" ht="15" customHeight="1" x14ac:dyDescent="0.2">
      <c r="A317" s="279"/>
      <c r="B317" s="251" t="s">
        <v>52</v>
      </c>
      <c r="C317" s="231">
        <v>160</v>
      </c>
      <c r="D317" s="648"/>
      <c r="E317" s="556"/>
      <c r="F317" s="555"/>
      <c r="G317" s="625">
        <f>Parameters!E72</f>
        <v>0</v>
      </c>
      <c r="H317" s="666" t="str">
        <f>IF(AND(ISNUMBER(D317),ISNUMBER(G317)),D317*G317,"")</f>
        <v/>
      </c>
      <c r="I317" s="273"/>
      <c r="J317" s="273"/>
      <c r="K317" s="30"/>
    </row>
    <row r="318" spans="1:21" ht="15" customHeight="1" x14ac:dyDescent="0.2">
      <c r="A318" s="279"/>
      <c r="B318" s="232" t="s">
        <v>69</v>
      </c>
      <c r="C318" s="237"/>
      <c r="D318" s="681"/>
      <c r="E318" s="556"/>
      <c r="F318" s="555"/>
      <c r="G318" s="681"/>
      <c r="H318" s="665" t="str">
        <f>IF(AND(ISNUMBER(H315),ISNUMBER(H316),ISNUMBER(H317)),H315+H316+H317,"")</f>
        <v/>
      </c>
      <c r="I318" s="273"/>
      <c r="J318" s="273"/>
      <c r="K318" s="30"/>
    </row>
    <row r="319" spans="1:21" s="267" customFormat="1" ht="45" customHeight="1" x14ac:dyDescent="0.25">
      <c r="A319" s="81" t="s">
        <v>333</v>
      </c>
      <c r="B319" s="81"/>
      <c r="C319" s="271"/>
      <c r="D319" s="271"/>
      <c r="E319" s="272"/>
      <c r="F319" s="273"/>
      <c r="G319" s="273"/>
      <c r="H319" s="273"/>
      <c r="I319" s="273"/>
      <c r="J319" s="273"/>
      <c r="K319" s="30"/>
      <c r="L319" s="273"/>
      <c r="M319" s="273"/>
      <c r="N319" s="273"/>
      <c r="O319" s="273"/>
      <c r="P319" s="273"/>
      <c r="Q319" s="273"/>
      <c r="R319" s="273"/>
      <c r="S319" s="273"/>
      <c r="T319" s="273"/>
      <c r="U319" s="273"/>
    </row>
    <row r="320" spans="1:21" s="267" customFormat="1" ht="15" customHeight="1" x14ac:dyDescent="0.25">
      <c r="A320" s="425"/>
      <c r="B320" s="425"/>
      <c r="C320" s="425"/>
      <c r="D320" s="425"/>
      <c r="E320" s="425"/>
      <c r="F320" s="425"/>
      <c r="G320" s="425"/>
      <c r="H320" s="425"/>
      <c r="I320" s="425"/>
      <c r="J320" s="425"/>
      <c r="K320" s="426"/>
      <c r="L320" s="273"/>
      <c r="M320" s="273"/>
      <c r="N320" s="273"/>
      <c r="O320" s="273"/>
      <c r="P320" s="273"/>
      <c r="Q320" s="273"/>
      <c r="R320" s="273"/>
      <c r="S320" s="273"/>
      <c r="T320" s="273"/>
      <c r="U320" s="273"/>
    </row>
    <row r="321" spans="1:21" s="267" customFormat="1" ht="30" customHeight="1" x14ac:dyDescent="0.25">
      <c r="A321" s="425"/>
      <c r="B321" s="425"/>
      <c r="C321" s="281" t="s">
        <v>986</v>
      </c>
      <c r="D321" s="281" t="s">
        <v>643</v>
      </c>
      <c r="E321" s="318"/>
      <c r="F321" s="319"/>
      <c r="G321" s="281" t="s">
        <v>678</v>
      </c>
      <c r="H321" s="281" t="s">
        <v>679</v>
      </c>
      <c r="I321" s="425"/>
      <c r="J321" s="425"/>
      <c r="K321" s="426"/>
      <c r="L321" s="273"/>
      <c r="M321" s="273"/>
      <c r="N321" s="273"/>
      <c r="O321" s="273"/>
      <c r="P321" s="273"/>
      <c r="Q321" s="273"/>
      <c r="R321" s="273"/>
      <c r="S321" s="273"/>
      <c r="T321" s="273"/>
      <c r="U321" s="273"/>
    </row>
    <row r="322" spans="1:21" ht="15" customHeight="1" x14ac:dyDescent="0.2">
      <c r="A322" s="279"/>
      <c r="B322" s="229" t="s">
        <v>53</v>
      </c>
      <c r="C322" s="231">
        <v>144</v>
      </c>
      <c r="D322" s="681"/>
      <c r="E322" s="556"/>
      <c r="F322" s="555"/>
      <c r="G322" s="681"/>
      <c r="H322" s="666" t="str">
        <f>IF(AND(ISNUMBER(H296),ISNUMBER(H310),ISNUMBER(H318),ISNUMBER(J430)),H296+H310+H318+J430,"")</f>
        <v/>
      </c>
      <c r="I322" s="273"/>
      <c r="J322" s="273"/>
      <c r="K322" s="30"/>
    </row>
    <row r="323" spans="1:21" ht="15" customHeight="1" x14ac:dyDescent="0.2">
      <c r="A323" s="279"/>
      <c r="B323" s="229" t="s">
        <v>54</v>
      </c>
      <c r="C323" s="231" t="s">
        <v>924</v>
      </c>
      <c r="D323" s="666" t="str">
        <f>H269</f>
        <v/>
      </c>
      <c r="E323" s="556"/>
      <c r="F323" s="555"/>
      <c r="G323" s="625">
        <v>0.75</v>
      </c>
      <c r="H323" s="666" t="str">
        <f>IF(AND(ISNUMBER(D323),ISNUMBER(G323)),D323*G323,"")</f>
        <v/>
      </c>
      <c r="I323" s="273"/>
      <c r="J323" s="273"/>
      <c r="K323" s="30"/>
    </row>
    <row r="324" spans="1:21" ht="15" customHeight="1" x14ac:dyDescent="0.2">
      <c r="A324" s="279"/>
      <c r="B324" s="244" t="s">
        <v>55</v>
      </c>
      <c r="C324" s="622" t="s">
        <v>924</v>
      </c>
      <c r="D324" s="698"/>
      <c r="E324" s="699"/>
      <c r="F324" s="699"/>
      <c r="G324" s="700"/>
      <c r="H324" s="701" t="str">
        <f>IF(AND(ISNUMBER(H322),ISNUMBER(H323)),MIN(H322,H323),"")</f>
        <v/>
      </c>
      <c r="I324" s="273"/>
      <c r="J324" s="273"/>
      <c r="K324" s="30"/>
    </row>
    <row r="325" spans="1:21" ht="15" customHeight="1" x14ac:dyDescent="0.2">
      <c r="A325" s="282"/>
      <c r="B325" s="242"/>
      <c r="C325" s="219"/>
      <c r="D325" s="304"/>
      <c r="E325" s="305"/>
      <c r="F325" s="306"/>
      <c r="G325" s="278"/>
      <c r="H325" s="278"/>
      <c r="I325" s="273"/>
      <c r="J325" s="273"/>
      <c r="K325" s="30"/>
    </row>
    <row r="326" spans="1:21" s="270" customFormat="1" ht="30" customHeight="1" x14ac:dyDescent="0.25">
      <c r="A326" s="43" t="s">
        <v>239</v>
      </c>
      <c r="B326" s="268"/>
      <c r="C326" s="268"/>
      <c r="D326" s="268"/>
      <c r="E326" s="268"/>
      <c r="F326" s="268"/>
      <c r="G326" s="268"/>
      <c r="H326" s="268"/>
      <c r="I326" s="390"/>
      <c r="J326" s="390"/>
      <c r="K326" s="269"/>
    </row>
    <row r="327" spans="1:21" ht="15" customHeight="1" x14ac:dyDescent="0.2">
      <c r="A327" s="282"/>
      <c r="B327" s="242"/>
      <c r="C327" s="219"/>
      <c r="D327" s="304"/>
      <c r="E327" s="305"/>
      <c r="F327" s="306"/>
      <c r="G327" s="278"/>
      <c r="H327" s="278"/>
      <c r="I327" s="273"/>
      <c r="J327" s="273"/>
      <c r="K327" s="30"/>
    </row>
    <row r="328" spans="1:21" ht="45" customHeight="1" x14ac:dyDescent="0.2">
      <c r="A328" s="282"/>
      <c r="B328" s="238"/>
      <c r="C328" s="281" t="s">
        <v>986</v>
      </c>
      <c r="D328" s="281" t="s">
        <v>240</v>
      </c>
      <c r="E328" s="281" t="s">
        <v>241</v>
      </c>
      <c r="F328" s="646"/>
      <c r="G328" s="281" t="s">
        <v>242</v>
      </c>
      <c r="H328" s="281" t="s">
        <v>243</v>
      </c>
      <c r="I328" s="281" t="s">
        <v>244</v>
      </c>
      <c r="J328" s="281" t="s">
        <v>245</v>
      </c>
      <c r="K328" s="30"/>
    </row>
    <row r="329" spans="1:21" ht="15" customHeight="1" x14ac:dyDescent="0.2">
      <c r="A329" s="282"/>
      <c r="B329" s="229" t="s">
        <v>695</v>
      </c>
      <c r="C329" s="646"/>
      <c r="D329" s="646"/>
      <c r="E329" s="646"/>
      <c r="F329" s="646"/>
      <c r="G329" s="646"/>
      <c r="H329" s="646"/>
      <c r="I329" s="655"/>
      <c r="J329" s="646"/>
      <c r="K329" s="30"/>
    </row>
    <row r="330" spans="1:21" ht="15" customHeight="1" x14ac:dyDescent="0.2">
      <c r="A330" s="282"/>
      <c r="B330" s="251" t="s">
        <v>1013</v>
      </c>
      <c r="C330" s="646"/>
      <c r="D330" s="647"/>
      <c r="E330" s="647"/>
      <c r="F330" s="656"/>
      <c r="G330" s="646"/>
      <c r="H330" s="646"/>
      <c r="I330" s="655"/>
      <c r="J330" s="646"/>
      <c r="K330" s="30"/>
    </row>
    <row r="331" spans="1:21" ht="15" customHeight="1" x14ac:dyDescent="0.2">
      <c r="A331" s="282"/>
      <c r="B331" s="254" t="s">
        <v>158</v>
      </c>
      <c r="C331" s="231" t="s">
        <v>925</v>
      </c>
      <c r="D331" s="683"/>
      <c r="E331" s="683"/>
      <c r="F331" s="685"/>
      <c r="G331" s="625">
        <v>0</v>
      </c>
      <c r="H331" s="678" t="str">
        <f>IF(AND(ISNUMBER(G331),ISNUMBER(E331)),G331*E331,"")</f>
        <v/>
      </c>
      <c r="I331" s="627">
        <v>0</v>
      </c>
      <c r="J331" s="678" t="str">
        <f>IF(AND(ISNUMBER(I331),ISNUMBER(D331)),I331*D331,"")</f>
        <v/>
      </c>
      <c r="K331" s="30"/>
    </row>
    <row r="332" spans="1:21" ht="15" customHeight="1" x14ac:dyDescent="0.2">
      <c r="A332" s="282"/>
      <c r="B332" s="255" t="s">
        <v>161</v>
      </c>
      <c r="C332" s="231" t="s">
        <v>925</v>
      </c>
      <c r="D332" s="687"/>
      <c r="E332" s="687"/>
      <c r="F332" s="702"/>
      <c r="G332" s="684"/>
      <c r="H332" s="685"/>
      <c r="I332" s="703"/>
      <c r="J332" s="685"/>
      <c r="K332" s="30"/>
    </row>
    <row r="333" spans="1:21" ht="15" customHeight="1" x14ac:dyDescent="0.2">
      <c r="A333" s="279"/>
      <c r="B333" s="488" t="str">
        <f>CONCATENATE("Check: row ", ROW(B332), " ≤ row ", ROW(LCR!B331),)</f>
        <v>Check: row 332 ≤ row 331</v>
      </c>
      <c r="C333" s="237"/>
      <c r="D333" s="495" t="str">
        <f>IF((D332&lt;=D331),"Pass","Fail")</f>
        <v>Pass</v>
      </c>
      <c r="E333" s="495" t="str">
        <f>IF((E332&lt;=E331),"Pass","Fail")</f>
        <v>Pass</v>
      </c>
      <c r="F333" s="656"/>
      <c r="G333" s="645"/>
      <c r="H333" s="646"/>
      <c r="I333" s="655"/>
      <c r="J333" s="646"/>
      <c r="K333" s="30"/>
    </row>
    <row r="334" spans="1:21" ht="15" customHeight="1" x14ac:dyDescent="0.2">
      <c r="A334" s="282"/>
      <c r="B334" s="254" t="s">
        <v>926</v>
      </c>
      <c r="C334" s="231" t="s">
        <v>925</v>
      </c>
      <c r="D334" s="310"/>
      <c r="E334" s="310"/>
      <c r="F334" s="646"/>
      <c r="G334" s="659"/>
      <c r="H334" s="660"/>
      <c r="I334" s="627">
        <v>0.15</v>
      </c>
      <c r="J334" s="413" t="str">
        <f>IF(AND(ISNUMBER(I334),ISNUMBER(D334)),I334*D334,"")</f>
        <v/>
      </c>
      <c r="K334" s="30"/>
    </row>
    <row r="335" spans="1:21" ht="15" customHeight="1" x14ac:dyDescent="0.2">
      <c r="A335" s="282"/>
      <c r="B335" s="255" t="s">
        <v>161</v>
      </c>
      <c r="C335" s="231" t="s">
        <v>925</v>
      </c>
      <c r="D335" s="217"/>
      <c r="E335" s="217"/>
      <c r="F335" s="656"/>
      <c r="G335" s="645"/>
      <c r="H335" s="646"/>
      <c r="I335" s="655"/>
      <c r="J335" s="646"/>
      <c r="K335" s="30"/>
    </row>
    <row r="336" spans="1:21" ht="15" customHeight="1" x14ac:dyDescent="0.2">
      <c r="A336" s="282"/>
      <c r="B336" s="488" t="str">
        <f>CONCATENATE("Check: row ", ROW(B335), " ≤ row ", ROW(LCR!B334),)</f>
        <v>Check: row 335 ≤ row 334</v>
      </c>
      <c r="C336" s="237"/>
      <c r="D336" s="495" t="str">
        <f>IF((D335&lt;=D334),"Pass","Fail")</f>
        <v>Pass</v>
      </c>
      <c r="E336" s="495" t="str">
        <f>IF((E335&lt;=E334),"Pass","Fail")</f>
        <v>Pass</v>
      </c>
      <c r="F336" s="656"/>
      <c r="G336" s="645"/>
      <c r="H336" s="646"/>
      <c r="I336" s="655"/>
      <c r="J336" s="646"/>
      <c r="K336" s="30"/>
    </row>
    <row r="337" spans="1:11" ht="15" customHeight="1" x14ac:dyDescent="0.2">
      <c r="A337" s="282"/>
      <c r="B337" s="254" t="s">
        <v>927</v>
      </c>
      <c r="C337" s="231" t="s">
        <v>925</v>
      </c>
      <c r="D337" s="322"/>
      <c r="E337" s="322"/>
      <c r="F337" s="646"/>
      <c r="G337" s="659"/>
      <c r="H337" s="660"/>
      <c r="I337" s="627">
        <v>0.25</v>
      </c>
      <c r="J337" s="413" t="str">
        <f>IF(AND(ISNUMBER(I337),ISNUMBER(D337)),I337*D337,"")</f>
        <v/>
      </c>
      <c r="K337" s="30"/>
    </row>
    <row r="338" spans="1:11" ht="15" customHeight="1" x14ac:dyDescent="0.2">
      <c r="A338" s="282"/>
      <c r="B338" s="255" t="s">
        <v>161</v>
      </c>
      <c r="C338" s="231" t="s">
        <v>925</v>
      </c>
      <c r="D338" s="322"/>
      <c r="E338" s="322"/>
      <c r="F338" s="656"/>
      <c r="G338" s="645"/>
      <c r="H338" s="646"/>
      <c r="I338" s="655"/>
      <c r="J338" s="646"/>
      <c r="K338" s="30"/>
    </row>
    <row r="339" spans="1:11" ht="15" customHeight="1" x14ac:dyDescent="0.2">
      <c r="A339" s="282"/>
      <c r="B339" s="488" t="str">
        <f>CONCATENATE("Check: row ", ROW(B338), " ≤ row ", ROW(LCR!B337),)</f>
        <v>Check: row 338 ≤ row 337</v>
      </c>
      <c r="C339" s="237"/>
      <c r="D339" s="495" t="str">
        <f>IF((D338&lt;=D337),"Pass","Fail")</f>
        <v>Pass</v>
      </c>
      <c r="E339" s="495" t="str">
        <f>IF((E338&lt;=E337),"Pass","Fail")</f>
        <v>Pass</v>
      </c>
      <c r="F339" s="656"/>
      <c r="G339" s="645"/>
      <c r="H339" s="646"/>
      <c r="I339" s="655"/>
      <c r="J339" s="646"/>
      <c r="K339" s="30"/>
    </row>
    <row r="340" spans="1:11" ht="15" customHeight="1" x14ac:dyDescent="0.2">
      <c r="A340" s="282"/>
      <c r="B340" s="254" t="s">
        <v>928</v>
      </c>
      <c r="C340" s="231" t="s">
        <v>925</v>
      </c>
      <c r="D340" s="322"/>
      <c r="E340" s="322"/>
      <c r="F340" s="646"/>
      <c r="G340" s="659"/>
      <c r="H340" s="660"/>
      <c r="I340" s="627">
        <v>0.5</v>
      </c>
      <c r="J340" s="413" t="str">
        <f>IF(AND(ISNUMBER(I340),ISNUMBER(D340)),I340*D340,"")</f>
        <v/>
      </c>
      <c r="K340" s="30"/>
    </row>
    <row r="341" spans="1:11" ht="15" customHeight="1" x14ac:dyDescent="0.2">
      <c r="A341" s="282"/>
      <c r="B341" s="255" t="s">
        <v>161</v>
      </c>
      <c r="C341" s="231" t="s">
        <v>925</v>
      </c>
      <c r="D341" s="322"/>
      <c r="E341" s="322"/>
      <c r="F341" s="656"/>
      <c r="G341" s="645"/>
      <c r="H341" s="646"/>
      <c r="I341" s="626"/>
      <c r="J341" s="623"/>
      <c r="K341" s="30"/>
    </row>
    <row r="342" spans="1:11" ht="15" customHeight="1" x14ac:dyDescent="0.2">
      <c r="A342" s="282"/>
      <c r="B342" s="488" t="str">
        <f>CONCATENATE("Check: row ", ROW(B341), " ≤ row ", ROW(LCR!B340),)</f>
        <v>Check: row 341 ≤ row 340</v>
      </c>
      <c r="C342" s="237"/>
      <c r="D342" s="495" t="str">
        <f>IF((D341&lt;=D340),"Pass","Fail")</f>
        <v>Pass</v>
      </c>
      <c r="E342" s="495" t="str">
        <f>IF((E341&lt;=E340),"Pass","Fail")</f>
        <v>Pass</v>
      </c>
      <c r="F342" s="656"/>
      <c r="G342" s="645"/>
      <c r="H342" s="646"/>
      <c r="I342" s="626"/>
      <c r="J342" s="623"/>
      <c r="K342" s="30"/>
    </row>
    <row r="343" spans="1:11" ht="15" customHeight="1" x14ac:dyDescent="0.2">
      <c r="A343" s="282"/>
      <c r="B343" s="254" t="s">
        <v>159</v>
      </c>
      <c r="C343" s="231" t="s">
        <v>925</v>
      </c>
      <c r="D343" s="310"/>
      <c r="E343" s="310"/>
      <c r="F343" s="646"/>
      <c r="G343" s="659"/>
      <c r="H343" s="660"/>
      <c r="I343" s="627">
        <v>1</v>
      </c>
      <c r="J343" s="413" t="str">
        <f>IF(AND(ISNUMBER(I343),ISNUMBER(D343)),I343*D343,"")</f>
        <v/>
      </c>
      <c r="K343" s="30"/>
    </row>
    <row r="344" spans="1:11" ht="15" customHeight="1" x14ac:dyDescent="0.2">
      <c r="A344" s="282"/>
      <c r="B344" s="255" t="s">
        <v>161</v>
      </c>
      <c r="C344" s="231" t="s">
        <v>925</v>
      </c>
      <c r="D344" s="217"/>
      <c r="E344" s="217"/>
      <c r="F344" s="656"/>
      <c r="G344" s="645"/>
      <c r="H344" s="646"/>
      <c r="I344" s="655"/>
      <c r="J344" s="646"/>
      <c r="K344" s="30"/>
    </row>
    <row r="345" spans="1:11" ht="15" customHeight="1" x14ac:dyDescent="0.2">
      <c r="A345" s="282"/>
      <c r="B345" s="488" t="str">
        <f>CONCATENATE("Check: row ", ROW(B344), " ≤ row ", ROW(LCR!B343),)</f>
        <v>Check: row 344 ≤ row 343</v>
      </c>
      <c r="C345" s="237"/>
      <c r="D345" s="495" t="str">
        <f>IF((D344&lt;=D343),"Pass","Fail")</f>
        <v>Pass</v>
      </c>
      <c r="E345" s="495" t="str">
        <f>IF((E344&lt;=E343),"Pass","Fail")</f>
        <v>Pass</v>
      </c>
      <c r="F345" s="656"/>
      <c r="G345" s="645"/>
      <c r="H345" s="646"/>
      <c r="I345" s="655"/>
      <c r="J345" s="646"/>
      <c r="K345" s="30"/>
    </row>
    <row r="346" spans="1:11" ht="15" customHeight="1" x14ac:dyDescent="0.2">
      <c r="A346" s="282"/>
      <c r="B346" s="254" t="s">
        <v>929</v>
      </c>
      <c r="C346" s="231" t="s">
        <v>925</v>
      </c>
      <c r="D346" s="310"/>
      <c r="E346" s="310"/>
      <c r="F346" s="646"/>
      <c r="G346" s="625">
        <v>0.15</v>
      </c>
      <c r="H346" s="413" t="str">
        <f>IF(AND(ISNUMBER(G346),ISNUMBER(E346)),G346*E346,"")</f>
        <v/>
      </c>
      <c r="I346" s="661"/>
      <c r="J346" s="660"/>
      <c r="K346" s="30"/>
    </row>
    <row r="347" spans="1:11" ht="15" customHeight="1" x14ac:dyDescent="0.2">
      <c r="A347" s="282"/>
      <c r="B347" s="255" t="s">
        <v>161</v>
      </c>
      <c r="C347" s="231" t="s">
        <v>925</v>
      </c>
      <c r="D347" s="217"/>
      <c r="E347" s="217"/>
      <c r="F347" s="656"/>
      <c r="G347" s="645"/>
      <c r="H347" s="646"/>
      <c r="I347" s="655"/>
      <c r="J347" s="646"/>
      <c r="K347" s="30"/>
    </row>
    <row r="348" spans="1:11" ht="15" customHeight="1" x14ac:dyDescent="0.2">
      <c r="A348" s="282"/>
      <c r="B348" s="488" t="str">
        <f>CONCATENATE("Check: row ", ROW(B347), " ≤ row ", ROW(LCR!B346),)</f>
        <v>Check: row 347 ≤ row 346</v>
      </c>
      <c r="C348" s="237"/>
      <c r="D348" s="495" t="str">
        <f>IF((D347&lt;=D346),"Pass","Fail")</f>
        <v>Pass</v>
      </c>
      <c r="E348" s="495" t="str">
        <f>IF((E347&lt;=E346),"Pass","Fail")</f>
        <v>Pass</v>
      </c>
      <c r="F348" s="656"/>
      <c r="G348" s="645"/>
      <c r="H348" s="646"/>
      <c r="I348" s="655"/>
      <c r="J348" s="646"/>
      <c r="K348" s="30"/>
    </row>
    <row r="349" spans="1:11" ht="15" customHeight="1" x14ac:dyDescent="0.2">
      <c r="A349" s="282"/>
      <c r="B349" s="254" t="s">
        <v>930</v>
      </c>
      <c r="C349" s="231" t="s">
        <v>925</v>
      </c>
      <c r="D349" s="310"/>
      <c r="E349" s="310"/>
      <c r="F349" s="646"/>
      <c r="G349" s="625">
        <v>0</v>
      </c>
      <c r="H349" s="413" t="str">
        <f>IF(AND(ISNUMBER(G349),ISNUMBER(E349)),G349*E349,"")</f>
        <v/>
      </c>
      <c r="I349" s="627">
        <v>0</v>
      </c>
      <c r="J349" s="413" t="str">
        <f>IF(AND(ISNUMBER(I349),ISNUMBER(D349)),I349*D349,"")</f>
        <v/>
      </c>
      <c r="K349" s="30"/>
    </row>
    <row r="350" spans="1:11" ht="15" customHeight="1" x14ac:dyDescent="0.2">
      <c r="A350" s="282"/>
      <c r="B350" s="255" t="s">
        <v>161</v>
      </c>
      <c r="C350" s="231" t="s">
        <v>925</v>
      </c>
      <c r="D350" s="217"/>
      <c r="E350" s="217"/>
      <c r="F350" s="656"/>
      <c r="G350" s="645"/>
      <c r="H350" s="646"/>
      <c r="I350" s="655"/>
      <c r="J350" s="646"/>
      <c r="K350" s="30"/>
    </row>
    <row r="351" spans="1:11" ht="15" customHeight="1" x14ac:dyDescent="0.2">
      <c r="A351" s="282"/>
      <c r="B351" s="488" t="str">
        <f>CONCATENATE("Check: row ", ROW(B350), " ≤ row ", ROW(LCR!B349),)</f>
        <v>Check: row 350 ≤ row 349</v>
      </c>
      <c r="C351" s="237"/>
      <c r="D351" s="495" t="str">
        <f>IF((D350&lt;=D349),"Pass","Fail")</f>
        <v>Pass</v>
      </c>
      <c r="E351" s="495" t="str">
        <f>IF((E350&lt;=E349),"Pass","Fail")</f>
        <v>Pass</v>
      </c>
      <c r="F351" s="656"/>
      <c r="G351" s="645"/>
      <c r="H351" s="646"/>
      <c r="I351" s="655"/>
      <c r="J351" s="646"/>
      <c r="K351" s="30"/>
    </row>
    <row r="352" spans="1:11" ht="15" customHeight="1" x14ac:dyDescent="0.2">
      <c r="A352" s="282"/>
      <c r="B352" s="254" t="s">
        <v>931</v>
      </c>
      <c r="C352" s="231" t="s">
        <v>925</v>
      </c>
      <c r="D352" s="322"/>
      <c r="E352" s="322"/>
      <c r="F352" s="646"/>
      <c r="G352" s="659"/>
      <c r="H352" s="660"/>
      <c r="I352" s="628">
        <v>0.1</v>
      </c>
      <c r="J352" s="413" t="str">
        <f>IF(AND(ISNUMBER(I352),ISNUMBER(D352)),I352*D352,"")</f>
        <v/>
      </c>
      <c r="K352" s="30"/>
    </row>
    <row r="353" spans="1:11" ht="15" customHeight="1" x14ac:dyDescent="0.2">
      <c r="A353" s="282"/>
      <c r="B353" s="255" t="s">
        <v>161</v>
      </c>
      <c r="C353" s="231" t="s">
        <v>925</v>
      </c>
      <c r="D353" s="322"/>
      <c r="E353" s="322"/>
      <c r="F353" s="656"/>
      <c r="G353" s="645"/>
      <c r="H353" s="646"/>
      <c r="I353" s="655"/>
      <c r="J353" s="646"/>
      <c r="K353" s="30"/>
    </row>
    <row r="354" spans="1:11" ht="15" customHeight="1" x14ac:dyDescent="0.2">
      <c r="A354" s="282"/>
      <c r="B354" s="488" t="str">
        <f>CONCATENATE("Check: row ", ROW(B353), " ≤ row ", ROW(LCR!B352),)</f>
        <v>Check: row 353 ≤ row 352</v>
      </c>
      <c r="C354" s="237"/>
      <c r="D354" s="495" t="str">
        <f>IF((D353&lt;=D352),"Pass","Fail")</f>
        <v>Pass</v>
      </c>
      <c r="E354" s="495" t="str">
        <f>IF((E353&lt;=E352),"Pass","Fail")</f>
        <v>Pass</v>
      </c>
      <c r="F354" s="656"/>
      <c r="G354" s="645"/>
      <c r="H354" s="646"/>
      <c r="I354" s="655"/>
      <c r="J354" s="646"/>
      <c r="K354" s="30"/>
    </row>
    <row r="355" spans="1:11" ht="15" customHeight="1" x14ac:dyDescent="0.2">
      <c r="A355" s="282"/>
      <c r="B355" s="254" t="s">
        <v>932</v>
      </c>
      <c r="C355" s="231" t="s">
        <v>925</v>
      </c>
      <c r="D355" s="322"/>
      <c r="E355" s="322"/>
      <c r="F355" s="646"/>
      <c r="G355" s="659"/>
      <c r="H355" s="660"/>
      <c r="I355" s="628">
        <v>0.35</v>
      </c>
      <c r="J355" s="413" t="str">
        <f>IF(AND(ISNUMBER(I355),ISNUMBER(D355)),I355*D355,"")</f>
        <v/>
      </c>
      <c r="K355" s="30"/>
    </row>
    <row r="356" spans="1:11" ht="15" customHeight="1" x14ac:dyDescent="0.2">
      <c r="A356" s="282"/>
      <c r="B356" s="255" t="s">
        <v>161</v>
      </c>
      <c r="C356" s="231" t="s">
        <v>925</v>
      </c>
      <c r="D356" s="322"/>
      <c r="E356" s="322"/>
      <c r="F356" s="656"/>
      <c r="G356" s="645"/>
      <c r="H356" s="646"/>
      <c r="I356" s="655"/>
      <c r="J356" s="646"/>
      <c r="K356" s="30"/>
    </row>
    <row r="357" spans="1:11" ht="15" customHeight="1" x14ac:dyDescent="0.2">
      <c r="A357" s="282"/>
      <c r="B357" s="488" t="str">
        <f>CONCATENATE("Check: row ", ROW(B356), " ≤ row ", ROW(LCR!B355),)</f>
        <v>Check: row 356 ≤ row 355</v>
      </c>
      <c r="C357" s="237"/>
      <c r="D357" s="495" t="str">
        <f>IF((D356&lt;=D355),"Pass","Fail")</f>
        <v>Pass</v>
      </c>
      <c r="E357" s="495" t="str">
        <f>IF((E356&lt;=E355),"Pass","Fail")</f>
        <v>Pass</v>
      </c>
      <c r="F357" s="656"/>
      <c r="G357" s="645"/>
      <c r="H357" s="646"/>
      <c r="I357" s="655"/>
      <c r="J357" s="646"/>
      <c r="K357" s="30"/>
    </row>
    <row r="358" spans="1:11" ht="15" customHeight="1" x14ac:dyDescent="0.2">
      <c r="A358" s="282"/>
      <c r="B358" s="254" t="s">
        <v>933</v>
      </c>
      <c r="C358" s="231" t="s">
        <v>925</v>
      </c>
      <c r="D358" s="310"/>
      <c r="E358" s="310"/>
      <c r="F358" s="646"/>
      <c r="G358" s="659"/>
      <c r="H358" s="660"/>
      <c r="I358" s="627">
        <v>0.85</v>
      </c>
      <c r="J358" s="413" t="str">
        <f>IF(AND(ISNUMBER(I358),ISNUMBER(D358)),I358*D358,"")</f>
        <v/>
      </c>
      <c r="K358" s="30"/>
    </row>
    <row r="359" spans="1:11" ht="15" customHeight="1" x14ac:dyDescent="0.2">
      <c r="A359" s="282"/>
      <c r="B359" s="255" t="s">
        <v>161</v>
      </c>
      <c r="C359" s="231" t="s">
        <v>925</v>
      </c>
      <c r="D359" s="217"/>
      <c r="E359" s="217"/>
      <c r="F359" s="656"/>
      <c r="G359" s="645"/>
      <c r="H359" s="646"/>
      <c r="I359" s="655"/>
      <c r="J359" s="646"/>
      <c r="K359" s="30"/>
    </row>
    <row r="360" spans="1:11" ht="15" customHeight="1" x14ac:dyDescent="0.2">
      <c r="A360" s="282"/>
      <c r="B360" s="488" t="str">
        <f>CONCATENATE("Check: row ", ROW(B359), " ≤ row ", ROW(LCR!B358),)</f>
        <v>Check: row 359 ≤ row 358</v>
      </c>
      <c r="C360" s="237"/>
      <c r="D360" s="495" t="str">
        <f>IF((D359&lt;=D358),"Pass","Fail")</f>
        <v>Pass</v>
      </c>
      <c r="E360" s="495" t="str">
        <f>IF((E359&lt;=E358),"Pass","Fail")</f>
        <v>Pass</v>
      </c>
      <c r="F360" s="656"/>
      <c r="G360" s="645"/>
      <c r="H360" s="646"/>
      <c r="I360" s="655"/>
      <c r="J360" s="646"/>
      <c r="K360" s="30"/>
    </row>
    <row r="361" spans="1:11" ht="15" customHeight="1" x14ac:dyDescent="0.2">
      <c r="A361" s="282"/>
      <c r="B361" s="254" t="s">
        <v>934</v>
      </c>
      <c r="C361" s="231" t="s">
        <v>925</v>
      </c>
      <c r="D361" s="322"/>
      <c r="E361" s="322"/>
      <c r="F361" s="657"/>
      <c r="G361" s="629">
        <v>0.25</v>
      </c>
      <c r="H361" s="413" t="str">
        <f>IF(AND(ISNUMBER(G361),ISNUMBER(E361)),G361*E361,"")</f>
        <v/>
      </c>
      <c r="I361" s="661"/>
      <c r="J361" s="660"/>
      <c r="K361" s="30"/>
    </row>
    <row r="362" spans="1:11" ht="15" customHeight="1" x14ac:dyDescent="0.2">
      <c r="A362" s="282"/>
      <c r="B362" s="255" t="s">
        <v>161</v>
      </c>
      <c r="C362" s="231" t="s">
        <v>925</v>
      </c>
      <c r="D362" s="322"/>
      <c r="E362" s="322"/>
      <c r="F362" s="657"/>
      <c r="G362" s="645"/>
      <c r="H362" s="646"/>
      <c r="I362" s="655"/>
      <c r="J362" s="646"/>
      <c r="K362" s="30"/>
    </row>
    <row r="363" spans="1:11" ht="15" customHeight="1" x14ac:dyDescent="0.2">
      <c r="A363" s="282"/>
      <c r="B363" s="488" t="str">
        <f>CONCATENATE("Check: row ", ROW(B362), " ≤ row ", ROW(LCR!B361),)</f>
        <v>Check: row 362 ≤ row 361</v>
      </c>
      <c r="C363" s="237"/>
      <c r="D363" s="495" t="str">
        <f>IF((D362&lt;=D361),"Pass","Fail")</f>
        <v>Pass</v>
      </c>
      <c r="E363" s="495" t="str">
        <f>IF((E362&lt;=E361),"Pass","Fail")</f>
        <v>Pass</v>
      </c>
      <c r="F363" s="657"/>
      <c r="G363" s="645"/>
      <c r="H363" s="646"/>
      <c r="I363" s="655"/>
      <c r="J363" s="646"/>
      <c r="K363" s="30"/>
    </row>
    <row r="364" spans="1:11" ht="15" customHeight="1" x14ac:dyDescent="0.2">
      <c r="A364" s="282"/>
      <c r="B364" s="254" t="s">
        <v>935</v>
      </c>
      <c r="C364" s="231" t="s">
        <v>925</v>
      </c>
      <c r="D364" s="322"/>
      <c r="E364" s="322"/>
      <c r="F364" s="657"/>
      <c r="G364" s="629">
        <v>0.1</v>
      </c>
      <c r="H364" s="413" t="str">
        <f>IF(AND(ISNUMBER(G364),ISNUMBER(E364)),G364*E364,"")</f>
        <v/>
      </c>
      <c r="I364" s="661"/>
      <c r="J364" s="660"/>
      <c r="K364" s="30"/>
    </row>
    <row r="365" spans="1:11" ht="15" customHeight="1" x14ac:dyDescent="0.2">
      <c r="A365" s="282"/>
      <c r="B365" s="255" t="s">
        <v>161</v>
      </c>
      <c r="C365" s="231" t="s">
        <v>925</v>
      </c>
      <c r="D365" s="322"/>
      <c r="E365" s="322"/>
      <c r="F365" s="657"/>
      <c r="G365" s="645"/>
      <c r="H365" s="646"/>
      <c r="I365" s="655"/>
      <c r="J365" s="646"/>
      <c r="K365" s="30"/>
    </row>
    <row r="366" spans="1:11" ht="15" customHeight="1" x14ac:dyDescent="0.2">
      <c r="A366" s="282"/>
      <c r="B366" s="488" t="str">
        <f>CONCATENATE("Check: row ", ROW(B365), " ≤ row ", ROW(LCR!B364),)</f>
        <v>Check: row 365 ≤ row 364</v>
      </c>
      <c r="C366" s="237"/>
      <c r="D366" s="495" t="str">
        <f>IF((D365&lt;=D364),"Pass","Fail")</f>
        <v>Pass</v>
      </c>
      <c r="E366" s="495" t="str">
        <f>IF((E365&lt;=E364),"Pass","Fail")</f>
        <v>Pass</v>
      </c>
      <c r="F366" s="657"/>
      <c r="G366" s="645"/>
      <c r="H366" s="646"/>
      <c r="I366" s="655"/>
      <c r="J366" s="646"/>
      <c r="K366" s="30"/>
    </row>
    <row r="367" spans="1:11" ht="15" customHeight="1" x14ac:dyDescent="0.2">
      <c r="A367" s="282"/>
      <c r="B367" s="254" t="s">
        <v>936</v>
      </c>
      <c r="C367" s="231" t="s">
        <v>925</v>
      </c>
      <c r="D367" s="322"/>
      <c r="E367" s="322"/>
      <c r="F367" s="657"/>
      <c r="G367" s="625">
        <v>0</v>
      </c>
      <c r="H367" s="413" t="str">
        <f>IF(AND(ISNUMBER(G367),ISNUMBER(E367)),G367*E367,"")</f>
        <v/>
      </c>
      <c r="I367" s="627">
        <v>0</v>
      </c>
      <c r="J367" s="413" t="str">
        <f>IF(AND(ISNUMBER(I367),ISNUMBER(D367)),I367*D367,"")</f>
        <v/>
      </c>
      <c r="K367" s="30"/>
    </row>
    <row r="368" spans="1:11" ht="15" customHeight="1" x14ac:dyDescent="0.2">
      <c r="A368" s="282"/>
      <c r="B368" s="255" t="s">
        <v>161</v>
      </c>
      <c r="C368" s="231" t="s">
        <v>925</v>
      </c>
      <c r="D368" s="322"/>
      <c r="E368" s="322"/>
      <c r="F368" s="657"/>
      <c r="G368" s="645"/>
      <c r="H368" s="646"/>
      <c r="I368" s="655"/>
      <c r="J368" s="646"/>
      <c r="K368" s="30"/>
    </row>
    <row r="369" spans="1:11" ht="15" customHeight="1" x14ac:dyDescent="0.2">
      <c r="A369" s="282"/>
      <c r="B369" s="488" t="str">
        <f>CONCATENATE("Check: row ", ROW(B368), " ≤ row ", ROW(LCR!B367),)</f>
        <v>Check: row 368 ≤ row 367</v>
      </c>
      <c r="C369" s="237"/>
      <c r="D369" s="495" t="str">
        <f>IF((D368&lt;=D367),"Pass","Fail")</f>
        <v>Pass</v>
      </c>
      <c r="E369" s="495" t="str">
        <f>IF((E368&lt;=E367),"Pass","Fail")</f>
        <v>Pass</v>
      </c>
      <c r="F369" s="657"/>
      <c r="G369" s="645"/>
      <c r="H369" s="646"/>
      <c r="I369" s="655"/>
      <c r="J369" s="646"/>
      <c r="K369" s="30"/>
    </row>
    <row r="370" spans="1:11" ht="15" customHeight="1" x14ac:dyDescent="0.2">
      <c r="A370" s="282"/>
      <c r="B370" s="254" t="s">
        <v>937</v>
      </c>
      <c r="C370" s="231" t="s">
        <v>925</v>
      </c>
      <c r="D370" s="322"/>
      <c r="E370" s="322"/>
      <c r="F370" s="657"/>
      <c r="G370" s="659"/>
      <c r="H370" s="660"/>
      <c r="I370" s="630">
        <v>0.25</v>
      </c>
      <c r="J370" s="413" t="str">
        <f>IF(AND(ISNUMBER(I370),ISNUMBER(D370)),I370*D370,"")</f>
        <v/>
      </c>
      <c r="K370" s="30"/>
    </row>
    <row r="371" spans="1:11" ht="15" customHeight="1" x14ac:dyDescent="0.2">
      <c r="A371" s="282"/>
      <c r="B371" s="255" t="s">
        <v>161</v>
      </c>
      <c r="C371" s="231" t="s">
        <v>925</v>
      </c>
      <c r="D371" s="322"/>
      <c r="E371" s="322"/>
      <c r="F371" s="657"/>
      <c r="G371" s="645"/>
      <c r="H371" s="646"/>
      <c r="I371" s="655"/>
      <c r="J371" s="646"/>
      <c r="K371" s="30"/>
    </row>
    <row r="372" spans="1:11" ht="15" customHeight="1" x14ac:dyDescent="0.2">
      <c r="A372" s="282"/>
      <c r="B372" s="488" t="str">
        <f>CONCATENATE("Check: row ", ROW(B371), " ≤ row ", ROW(LCR!B370),)</f>
        <v>Check: row 371 ≤ row 370</v>
      </c>
      <c r="C372" s="237"/>
      <c r="D372" s="495" t="str">
        <f>IF((D371&lt;=D370),"Pass","Fail")</f>
        <v>Pass</v>
      </c>
      <c r="E372" s="495" t="str">
        <f>IF((E371&lt;=E370),"Pass","Fail")</f>
        <v>Pass</v>
      </c>
      <c r="F372" s="657"/>
      <c r="G372" s="645"/>
      <c r="H372" s="646"/>
      <c r="I372" s="655"/>
      <c r="J372" s="646"/>
      <c r="K372" s="30"/>
    </row>
    <row r="373" spans="1:11" ht="15" customHeight="1" x14ac:dyDescent="0.2">
      <c r="A373" s="282"/>
      <c r="B373" s="254" t="s">
        <v>938</v>
      </c>
      <c r="C373" s="231" t="s">
        <v>925</v>
      </c>
      <c r="D373" s="322"/>
      <c r="E373" s="322"/>
      <c r="F373" s="657"/>
      <c r="G373" s="659"/>
      <c r="H373" s="660"/>
      <c r="I373" s="630">
        <v>0.75</v>
      </c>
      <c r="J373" s="413" t="str">
        <f>IF(AND(ISNUMBER(I373),ISNUMBER(D373)),I373*D373,"")</f>
        <v/>
      </c>
      <c r="K373" s="30"/>
    </row>
    <row r="374" spans="1:11" ht="15" customHeight="1" x14ac:dyDescent="0.2">
      <c r="A374" s="282"/>
      <c r="B374" s="255" t="s">
        <v>161</v>
      </c>
      <c r="C374" s="231" t="s">
        <v>925</v>
      </c>
      <c r="D374" s="322"/>
      <c r="E374" s="322"/>
      <c r="F374" s="657"/>
      <c r="G374" s="645"/>
      <c r="H374" s="646"/>
      <c r="I374" s="655"/>
      <c r="J374" s="646"/>
      <c r="K374" s="30"/>
    </row>
    <row r="375" spans="1:11" ht="15" customHeight="1" x14ac:dyDescent="0.2">
      <c r="A375" s="282"/>
      <c r="B375" s="488" t="str">
        <f>CONCATENATE("Check: row ", ROW(B374), " ≤ row ", ROW(LCR!B373),)</f>
        <v>Check: row 374 ≤ row 373</v>
      </c>
      <c r="C375" s="237"/>
      <c r="D375" s="495" t="str">
        <f>IF((D374&lt;=D373),"Pass","Fail")</f>
        <v>Pass</v>
      </c>
      <c r="E375" s="495" t="str">
        <f>IF((E374&lt;=E373),"Pass","Fail")</f>
        <v>Pass</v>
      </c>
      <c r="F375" s="657"/>
      <c r="G375" s="645"/>
      <c r="H375" s="646"/>
      <c r="I375" s="655"/>
      <c r="J375" s="646"/>
      <c r="K375" s="30"/>
    </row>
    <row r="376" spans="1:11" ht="15" customHeight="1" x14ac:dyDescent="0.2">
      <c r="A376" s="282"/>
      <c r="B376" s="254" t="s">
        <v>939</v>
      </c>
      <c r="C376" s="231" t="s">
        <v>925</v>
      </c>
      <c r="D376" s="322"/>
      <c r="E376" s="322"/>
      <c r="F376" s="657"/>
      <c r="G376" s="629">
        <v>0.5</v>
      </c>
      <c r="H376" s="413" t="str">
        <f>IF(AND(ISNUMBER(G376),ISNUMBER(E376)),G376*E376,"")</f>
        <v/>
      </c>
      <c r="I376" s="661"/>
      <c r="J376" s="660"/>
      <c r="K376" s="30"/>
    </row>
    <row r="377" spans="1:11" ht="15" customHeight="1" x14ac:dyDescent="0.2">
      <c r="A377" s="282"/>
      <c r="B377" s="255" t="s">
        <v>161</v>
      </c>
      <c r="C377" s="231" t="s">
        <v>925</v>
      </c>
      <c r="D377" s="322"/>
      <c r="E377" s="322"/>
      <c r="F377" s="657"/>
      <c r="G377" s="645"/>
      <c r="H377" s="646"/>
      <c r="I377" s="655"/>
      <c r="J377" s="646"/>
      <c r="K377" s="30"/>
    </row>
    <row r="378" spans="1:11" ht="15" customHeight="1" x14ac:dyDescent="0.2">
      <c r="A378" s="282"/>
      <c r="B378" s="488" t="str">
        <f>CONCATENATE("Check: row ", ROW(B377), " ≤ row ", ROW(LCR!B376),)</f>
        <v>Check: row 377 ≤ row 376</v>
      </c>
      <c r="C378" s="237"/>
      <c r="D378" s="495" t="str">
        <f>IF((D377&lt;=D376),"Pass","Fail")</f>
        <v>Pass</v>
      </c>
      <c r="E378" s="495" t="str">
        <f>IF((E377&lt;=E376),"Pass","Fail")</f>
        <v>Pass</v>
      </c>
      <c r="F378" s="657"/>
      <c r="G378" s="645"/>
      <c r="H378" s="646"/>
      <c r="I378" s="655"/>
      <c r="J378" s="646"/>
      <c r="K378" s="30"/>
    </row>
    <row r="379" spans="1:11" ht="15" customHeight="1" x14ac:dyDescent="0.2">
      <c r="A379" s="282"/>
      <c r="B379" s="254" t="s">
        <v>940</v>
      </c>
      <c r="C379" s="231" t="s">
        <v>925</v>
      </c>
      <c r="D379" s="322"/>
      <c r="E379" s="322"/>
      <c r="F379" s="657"/>
      <c r="G379" s="629">
        <v>0.35</v>
      </c>
      <c r="H379" s="413" t="str">
        <f>IF(AND(ISNUMBER(G379),ISNUMBER(E379)),G379*E379,"")</f>
        <v/>
      </c>
      <c r="I379" s="661"/>
      <c r="J379" s="660"/>
      <c r="K379" s="30"/>
    </row>
    <row r="380" spans="1:11" ht="15" customHeight="1" x14ac:dyDescent="0.2">
      <c r="A380" s="282"/>
      <c r="B380" s="255" t="s">
        <v>161</v>
      </c>
      <c r="C380" s="231" t="s">
        <v>925</v>
      </c>
      <c r="D380" s="322"/>
      <c r="E380" s="322"/>
      <c r="F380" s="657"/>
      <c r="G380" s="645"/>
      <c r="H380" s="646"/>
      <c r="I380" s="655"/>
      <c r="J380" s="646"/>
      <c r="K380" s="30"/>
    </row>
    <row r="381" spans="1:11" ht="15" customHeight="1" x14ac:dyDescent="0.2">
      <c r="A381" s="282"/>
      <c r="B381" s="488" t="str">
        <f>CONCATENATE("Check: row ", ROW(B380), " ≤ row ", ROW(LCR!B379),)</f>
        <v>Check: row 380 ≤ row 379</v>
      </c>
      <c r="C381" s="237"/>
      <c r="D381" s="495" t="str">
        <f>IF((D380&lt;=D379),"Pass","Fail")</f>
        <v>Pass</v>
      </c>
      <c r="E381" s="495" t="str">
        <f>IF((E380&lt;=E379),"Pass","Fail")</f>
        <v>Pass</v>
      </c>
      <c r="F381" s="657"/>
      <c r="G381" s="645"/>
      <c r="H381" s="646"/>
      <c r="I381" s="655"/>
      <c r="J381" s="646"/>
      <c r="K381" s="30"/>
    </row>
    <row r="382" spans="1:11" ht="15" customHeight="1" x14ac:dyDescent="0.2">
      <c r="A382" s="282"/>
      <c r="B382" s="254" t="s">
        <v>941</v>
      </c>
      <c r="C382" s="231" t="s">
        <v>925</v>
      </c>
      <c r="D382" s="322"/>
      <c r="E382" s="322"/>
      <c r="F382" s="657"/>
      <c r="G382" s="629">
        <v>0.25</v>
      </c>
      <c r="H382" s="413" t="str">
        <f>IF(AND(ISNUMBER(G382),ISNUMBER(E382)),G382*E382,"")</f>
        <v/>
      </c>
      <c r="I382" s="661"/>
      <c r="J382" s="660"/>
      <c r="K382" s="30"/>
    </row>
    <row r="383" spans="1:11" ht="15" customHeight="1" x14ac:dyDescent="0.2">
      <c r="A383" s="282"/>
      <c r="B383" s="255" t="s">
        <v>161</v>
      </c>
      <c r="C383" s="231" t="s">
        <v>925</v>
      </c>
      <c r="D383" s="322"/>
      <c r="E383" s="322"/>
      <c r="F383" s="657"/>
      <c r="G383" s="645"/>
      <c r="H383" s="646"/>
      <c r="I383" s="655"/>
      <c r="J383" s="646"/>
      <c r="K383" s="30"/>
    </row>
    <row r="384" spans="1:11" ht="15" customHeight="1" x14ac:dyDescent="0.2">
      <c r="A384" s="282"/>
      <c r="B384" s="488" t="str">
        <f>CONCATENATE("Check: row ", ROW(B383), " ≤ row ", ROW(LCR!B382),)</f>
        <v>Check: row 383 ≤ row 382</v>
      </c>
      <c r="C384" s="237"/>
      <c r="D384" s="495" t="str">
        <f>IF((D383&lt;=D382),"Pass","Fail")</f>
        <v>Pass</v>
      </c>
      <c r="E384" s="495" t="str">
        <f>IF((E383&lt;=E382),"Pass","Fail")</f>
        <v>Pass</v>
      </c>
      <c r="F384" s="657"/>
      <c r="G384" s="645"/>
      <c r="H384" s="646"/>
      <c r="I384" s="655"/>
      <c r="J384" s="646"/>
      <c r="K384" s="30"/>
    </row>
    <row r="385" spans="1:11" ht="15" customHeight="1" x14ac:dyDescent="0.2">
      <c r="A385" s="282"/>
      <c r="B385" s="254" t="s">
        <v>942</v>
      </c>
      <c r="C385" s="231" t="s">
        <v>925</v>
      </c>
      <c r="D385" s="322"/>
      <c r="E385" s="322"/>
      <c r="F385" s="657"/>
      <c r="G385" s="625">
        <v>0</v>
      </c>
      <c r="H385" s="413" t="str">
        <f>IF(AND(ISNUMBER(G385),ISNUMBER(E385)),G385*E385,"")</f>
        <v/>
      </c>
      <c r="I385" s="627">
        <v>0</v>
      </c>
      <c r="J385" s="413" t="str">
        <f>IF(AND(ISNUMBER(I385),ISNUMBER(D385)),I385*D385,"")</f>
        <v/>
      </c>
      <c r="K385" s="30"/>
    </row>
    <row r="386" spans="1:11" ht="15" customHeight="1" x14ac:dyDescent="0.2">
      <c r="A386" s="282"/>
      <c r="B386" s="255" t="s">
        <v>161</v>
      </c>
      <c r="C386" s="231" t="s">
        <v>925</v>
      </c>
      <c r="D386" s="322"/>
      <c r="E386" s="322"/>
      <c r="F386" s="657"/>
      <c r="G386" s="645"/>
      <c r="H386" s="646"/>
      <c r="I386" s="655"/>
      <c r="J386" s="646"/>
      <c r="K386" s="30"/>
    </row>
    <row r="387" spans="1:11" ht="15" customHeight="1" x14ac:dyDescent="0.2">
      <c r="A387" s="282"/>
      <c r="B387" s="488" t="str">
        <f>CONCATENATE("Check: row ", ROW(B386), " ≤ row ", ROW(LCR!B385),)</f>
        <v>Check: row 386 ≤ row 385</v>
      </c>
      <c r="C387" s="237"/>
      <c r="D387" s="495" t="str">
        <f>IF((D386&lt;=D385),"Pass","Fail")</f>
        <v>Pass</v>
      </c>
      <c r="E387" s="495" t="str">
        <f>IF((E386&lt;=E385),"Pass","Fail")</f>
        <v>Pass</v>
      </c>
      <c r="F387" s="657"/>
      <c r="G387" s="645"/>
      <c r="H387" s="646"/>
      <c r="I387" s="655"/>
      <c r="J387" s="646"/>
      <c r="K387" s="30"/>
    </row>
    <row r="388" spans="1:11" ht="15" customHeight="1" x14ac:dyDescent="0.2">
      <c r="A388" s="282"/>
      <c r="B388" s="254" t="s">
        <v>943</v>
      </c>
      <c r="C388" s="231" t="s">
        <v>925</v>
      </c>
      <c r="D388" s="322"/>
      <c r="E388" s="322"/>
      <c r="F388" s="657"/>
      <c r="G388" s="659"/>
      <c r="H388" s="660"/>
      <c r="I388" s="630">
        <v>0.5</v>
      </c>
      <c r="J388" s="413" t="str">
        <f>IF(AND(ISNUMBER(I388),ISNUMBER(D388)),I388*D388,"")</f>
        <v/>
      </c>
      <c r="K388" s="30"/>
    </row>
    <row r="389" spans="1:11" ht="15" customHeight="1" x14ac:dyDescent="0.2">
      <c r="A389" s="282"/>
      <c r="B389" s="255" t="s">
        <v>161</v>
      </c>
      <c r="C389" s="231" t="s">
        <v>925</v>
      </c>
      <c r="D389" s="322"/>
      <c r="E389" s="322"/>
      <c r="F389" s="657"/>
      <c r="G389" s="645"/>
      <c r="H389" s="646"/>
      <c r="I389" s="655"/>
      <c r="J389" s="646"/>
      <c r="K389" s="30"/>
    </row>
    <row r="390" spans="1:11" ht="15" customHeight="1" x14ac:dyDescent="0.2">
      <c r="A390" s="282"/>
      <c r="B390" s="488" t="str">
        <f>CONCATENATE("Check: row ", ROW(B389), " ≤ row ", ROW(LCR!B388),)</f>
        <v>Check: row 389 ≤ row 388</v>
      </c>
      <c r="C390" s="237"/>
      <c r="D390" s="495" t="str">
        <f>IF((D389&lt;=D388),"Pass","Fail")</f>
        <v>Pass</v>
      </c>
      <c r="E390" s="495" t="str">
        <f>IF((E389&lt;=E388),"Pass","Fail")</f>
        <v>Pass</v>
      </c>
      <c r="F390" s="657"/>
      <c r="G390" s="645"/>
      <c r="H390" s="646"/>
      <c r="I390" s="655"/>
      <c r="J390" s="646"/>
      <c r="K390" s="30"/>
    </row>
    <row r="391" spans="1:11" ht="15" customHeight="1" x14ac:dyDescent="0.2">
      <c r="A391" s="282"/>
      <c r="B391" s="254" t="s">
        <v>160</v>
      </c>
      <c r="C391" s="231" t="s">
        <v>925</v>
      </c>
      <c r="D391" s="310"/>
      <c r="E391" s="310"/>
      <c r="F391" s="658"/>
      <c r="G391" s="625">
        <v>1</v>
      </c>
      <c r="H391" s="413" t="str">
        <f>IF(AND(ISNUMBER(G391),ISNUMBER(E391)),G391*E391,"")</f>
        <v/>
      </c>
      <c r="I391" s="661"/>
      <c r="J391" s="660"/>
      <c r="K391" s="30"/>
    </row>
    <row r="392" spans="1:11" ht="15" customHeight="1" x14ac:dyDescent="0.2">
      <c r="A392" s="282"/>
      <c r="B392" s="255" t="s">
        <v>161</v>
      </c>
      <c r="C392" s="231" t="s">
        <v>925</v>
      </c>
      <c r="D392" s="217"/>
      <c r="E392" s="217"/>
      <c r="F392" s="656"/>
      <c r="G392" s="645"/>
      <c r="H392" s="646"/>
      <c r="I392" s="655"/>
      <c r="J392" s="646"/>
      <c r="K392" s="30"/>
    </row>
    <row r="393" spans="1:11" ht="15" customHeight="1" x14ac:dyDescent="0.2">
      <c r="A393" s="282"/>
      <c r="B393" s="488" t="str">
        <f>CONCATENATE("Check: row ", ROW(B392), " ≤ row ", ROW(LCR!B391),)</f>
        <v>Check: row 392 ≤ row 391</v>
      </c>
      <c r="C393" s="237"/>
      <c r="D393" s="495" t="str">
        <f>IF((D392&lt;=D391),"Pass","Fail")</f>
        <v>Pass</v>
      </c>
      <c r="E393" s="495" t="str">
        <f>IF((E392&lt;=E391),"Pass","Fail")</f>
        <v>Pass</v>
      </c>
      <c r="F393" s="656"/>
      <c r="G393" s="645"/>
      <c r="H393" s="646"/>
      <c r="I393" s="655"/>
      <c r="J393" s="646"/>
      <c r="K393" s="30"/>
    </row>
    <row r="394" spans="1:11" ht="15" customHeight="1" x14ac:dyDescent="0.2">
      <c r="A394" s="282"/>
      <c r="B394" s="254" t="s">
        <v>944</v>
      </c>
      <c r="C394" s="231" t="s">
        <v>925</v>
      </c>
      <c r="D394" s="648"/>
      <c r="E394" s="683"/>
      <c r="F394" s="658"/>
      <c r="G394" s="625">
        <v>0.85</v>
      </c>
      <c r="H394" s="413" t="str">
        <f>IF(AND(ISNUMBER(G394),ISNUMBER(E394)),G394*E394,"")</f>
        <v/>
      </c>
      <c r="I394" s="661"/>
      <c r="J394" s="660"/>
      <c r="K394" s="30"/>
    </row>
    <row r="395" spans="1:11" ht="15" customHeight="1" x14ac:dyDescent="0.2">
      <c r="A395" s="282"/>
      <c r="B395" s="255" t="s">
        <v>161</v>
      </c>
      <c r="C395" s="231" t="s">
        <v>925</v>
      </c>
      <c r="D395" s="648"/>
      <c r="E395" s="648"/>
      <c r="F395" s="656"/>
      <c r="G395" s="645"/>
      <c r="H395" s="646"/>
      <c r="I395" s="655"/>
      <c r="J395" s="646"/>
      <c r="K395" s="30"/>
    </row>
    <row r="396" spans="1:11" ht="15" customHeight="1" x14ac:dyDescent="0.2">
      <c r="A396" s="282"/>
      <c r="B396" s="488" t="str">
        <f>CONCATENATE("Check: row ", ROW(B395), " ≤ row ", ROW(LCR!B394),)</f>
        <v>Check: row 395 ≤ row 394</v>
      </c>
      <c r="C396" s="237"/>
      <c r="D396" s="495" t="str">
        <f>IF((D395&lt;=D394),"Pass","Fail")</f>
        <v>Pass</v>
      </c>
      <c r="E396" s="495" t="str">
        <f>IF((E395&lt;=E394),"Pass","Fail")</f>
        <v>Pass</v>
      </c>
      <c r="F396" s="656"/>
      <c r="G396" s="645"/>
      <c r="H396" s="646"/>
      <c r="I396" s="655"/>
      <c r="J396" s="646"/>
      <c r="K396" s="30"/>
    </row>
    <row r="397" spans="1:11" ht="15" customHeight="1" x14ac:dyDescent="0.2">
      <c r="A397" s="282"/>
      <c r="B397" s="254" t="s">
        <v>945</v>
      </c>
      <c r="C397" s="231" t="s">
        <v>925</v>
      </c>
      <c r="D397" s="322"/>
      <c r="E397" s="322"/>
      <c r="F397" s="657"/>
      <c r="G397" s="629">
        <v>0.75</v>
      </c>
      <c r="H397" s="413" t="str">
        <f>IF(AND(ISNUMBER(G397),ISNUMBER(E397)),G397*E397,"")</f>
        <v/>
      </c>
      <c r="I397" s="661"/>
      <c r="J397" s="660"/>
      <c r="K397" s="30"/>
    </row>
    <row r="398" spans="1:11" ht="15" customHeight="1" x14ac:dyDescent="0.2">
      <c r="A398" s="282"/>
      <c r="B398" s="255" t="s">
        <v>161</v>
      </c>
      <c r="C398" s="231" t="s">
        <v>925</v>
      </c>
      <c r="D398" s="322"/>
      <c r="E398" s="322"/>
      <c r="F398" s="657"/>
      <c r="G398" s="645"/>
      <c r="H398" s="646"/>
      <c r="I398" s="655"/>
      <c r="J398" s="646"/>
      <c r="K398" s="30"/>
    </row>
    <row r="399" spans="1:11" ht="15" customHeight="1" x14ac:dyDescent="0.2">
      <c r="A399" s="282"/>
      <c r="B399" s="488" t="str">
        <f>CONCATENATE("Check: row ", ROW(B398), " ≤ row ", ROW(LCR!B397),)</f>
        <v>Check: row 398 ≤ row 397</v>
      </c>
      <c r="C399" s="237"/>
      <c r="D399" s="495" t="str">
        <f>IF((D398&lt;=D397),"Pass","Fail")</f>
        <v>Pass</v>
      </c>
      <c r="E399" s="495" t="str">
        <f>IF((E398&lt;=E397),"Pass","Fail")</f>
        <v>Pass</v>
      </c>
      <c r="F399" s="657"/>
      <c r="G399" s="645"/>
      <c r="H399" s="646"/>
      <c r="I399" s="655"/>
      <c r="J399" s="646"/>
      <c r="K399" s="30"/>
    </row>
    <row r="400" spans="1:11" ht="15" customHeight="1" x14ac:dyDescent="0.2">
      <c r="A400" s="279"/>
      <c r="B400" s="254" t="s">
        <v>946</v>
      </c>
      <c r="C400" s="231" t="s">
        <v>925</v>
      </c>
      <c r="D400" s="322"/>
      <c r="E400" s="322"/>
      <c r="F400" s="657"/>
      <c r="G400" s="629">
        <v>0.5</v>
      </c>
      <c r="H400" s="413" t="str">
        <f>IF(AND(ISNUMBER(G400),ISNUMBER(E400)),G400*E400,"")</f>
        <v/>
      </c>
      <c r="I400" s="661"/>
      <c r="J400" s="660"/>
      <c r="K400" s="30"/>
    </row>
    <row r="401" spans="1:11" ht="15" customHeight="1" x14ac:dyDescent="0.2">
      <c r="A401" s="282"/>
      <c r="B401" s="255" t="s">
        <v>161</v>
      </c>
      <c r="C401" s="231" t="s">
        <v>925</v>
      </c>
      <c r="D401" s="322"/>
      <c r="E401" s="322"/>
      <c r="F401" s="657"/>
      <c r="G401" s="645"/>
      <c r="H401" s="646"/>
      <c r="I401" s="655"/>
      <c r="J401" s="646"/>
      <c r="K401" s="30"/>
    </row>
    <row r="402" spans="1:11" ht="15" customHeight="1" x14ac:dyDescent="0.2">
      <c r="A402" s="282"/>
      <c r="B402" s="488" t="str">
        <f>CONCATENATE("Check: row ", ROW(B401), " ≤ row ", ROW(LCR!B400),)</f>
        <v>Check: row 401 ≤ row 400</v>
      </c>
      <c r="C402" s="237"/>
      <c r="D402" s="495" t="str">
        <f>IF((D401&lt;=D400),"Pass","Fail")</f>
        <v>Pass</v>
      </c>
      <c r="E402" s="495" t="str">
        <f>IF((E401&lt;=E400),"Pass","Fail")</f>
        <v>Pass</v>
      </c>
      <c r="F402" s="657"/>
      <c r="G402" s="645"/>
      <c r="H402" s="646"/>
      <c r="I402" s="655"/>
      <c r="J402" s="646"/>
      <c r="K402" s="30"/>
    </row>
    <row r="403" spans="1:11" ht="15" customHeight="1" x14ac:dyDescent="0.2">
      <c r="A403" s="279"/>
      <c r="B403" s="254" t="s">
        <v>276</v>
      </c>
      <c r="C403" s="231" t="s">
        <v>925</v>
      </c>
      <c r="D403" s="648"/>
      <c r="E403" s="683"/>
      <c r="F403" s="704"/>
      <c r="G403" s="625">
        <v>0</v>
      </c>
      <c r="H403" s="678" t="str">
        <f>IF(AND(ISNUMBER(G403),ISNUMBER(E403)),G403*E403,"")</f>
        <v/>
      </c>
      <c r="I403" s="627">
        <v>0</v>
      </c>
      <c r="J403" s="678" t="str">
        <f>IF(AND(ISNUMBER(I403),ISNUMBER(D403)),I403*D403,"")</f>
        <v/>
      </c>
      <c r="K403" s="30"/>
    </row>
    <row r="404" spans="1:11" ht="15" customHeight="1" x14ac:dyDescent="0.2">
      <c r="A404" s="282"/>
      <c r="B404" s="251" t="s">
        <v>1014</v>
      </c>
      <c r="C404" s="212"/>
      <c r="D404" s="681"/>
      <c r="E404" s="681"/>
      <c r="F404" s="705"/>
      <c r="G404" s="679"/>
      <c r="H404" s="706"/>
      <c r="I404" s="707"/>
      <c r="J404" s="706"/>
      <c r="K404" s="30"/>
    </row>
    <row r="405" spans="1:11" ht="15" customHeight="1" x14ac:dyDescent="0.2">
      <c r="A405" s="282"/>
      <c r="B405" s="254" t="s">
        <v>246</v>
      </c>
      <c r="C405" s="231" t="s">
        <v>925</v>
      </c>
      <c r="D405" s="683"/>
      <c r="E405" s="683"/>
      <c r="F405" s="670"/>
      <c r="G405" s="625">
        <v>0</v>
      </c>
      <c r="H405" s="678" t="str">
        <f>IF(AND(ISNUMBER(G405),ISNUMBER(E405)),G405*E405,"")</f>
        <v/>
      </c>
      <c r="I405" s="627">
        <v>0</v>
      </c>
      <c r="J405" s="678" t="str">
        <f>IF(AND(ISNUMBER(I405),ISNUMBER(D405)),I405*D405,"")</f>
        <v/>
      </c>
      <c r="K405" s="30"/>
    </row>
    <row r="406" spans="1:11" ht="15" customHeight="1" x14ac:dyDescent="0.2">
      <c r="A406" s="279"/>
      <c r="B406" s="254" t="s">
        <v>947</v>
      </c>
      <c r="C406" s="231" t="s">
        <v>925</v>
      </c>
      <c r="D406" s="683"/>
      <c r="E406" s="683"/>
      <c r="F406" s="670"/>
      <c r="G406" s="708"/>
      <c r="H406" s="706"/>
      <c r="I406" s="627">
        <v>0</v>
      </c>
      <c r="J406" s="678" t="str">
        <f>IF(AND(ISNUMBER(I406),ISNUMBER(D406)),I406*D406,"")</f>
        <v/>
      </c>
      <c r="K406" s="30"/>
    </row>
    <row r="407" spans="1:11" ht="15" customHeight="1" x14ac:dyDescent="0.2">
      <c r="A407" s="282"/>
      <c r="B407" s="254" t="s">
        <v>948</v>
      </c>
      <c r="C407" s="231" t="s">
        <v>925</v>
      </c>
      <c r="D407" s="649"/>
      <c r="E407" s="649"/>
      <c r="F407" s="670"/>
      <c r="G407" s="708"/>
      <c r="H407" s="706"/>
      <c r="I407" s="627">
        <v>0</v>
      </c>
      <c r="J407" s="678" t="str">
        <f>IF(AND(ISNUMBER(I407),ISNUMBER(D407)),I407*D407,"")</f>
        <v/>
      </c>
      <c r="K407" s="30"/>
    </row>
    <row r="408" spans="1:11" ht="15" customHeight="1" x14ac:dyDescent="0.2">
      <c r="A408" s="282"/>
      <c r="B408" s="254" t="s">
        <v>949</v>
      </c>
      <c r="C408" s="231" t="s">
        <v>925</v>
      </c>
      <c r="D408" s="649"/>
      <c r="E408" s="649"/>
      <c r="F408" s="670"/>
      <c r="G408" s="708"/>
      <c r="H408" s="706"/>
      <c r="I408" s="627">
        <v>0</v>
      </c>
      <c r="J408" s="678" t="str">
        <f>IF(AND(ISNUMBER(I408),ISNUMBER(D408)),I408*D408,"")</f>
        <v/>
      </c>
      <c r="K408" s="30"/>
    </row>
    <row r="409" spans="1:11" ht="15" customHeight="1" x14ac:dyDescent="0.2">
      <c r="A409" s="279"/>
      <c r="B409" s="254" t="s">
        <v>273</v>
      </c>
      <c r="C409" s="231" t="s">
        <v>925</v>
      </c>
      <c r="D409" s="683"/>
      <c r="E409" s="683"/>
      <c r="F409" s="670"/>
      <c r="G409" s="708"/>
      <c r="H409" s="706"/>
      <c r="I409" s="627">
        <v>0</v>
      </c>
      <c r="J409" s="678" t="str">
        <f>IF(AND(ISNUMBER(I409),ISNUMBER(D409)),I409*D409,"")</f>
        <v/>
      </c>
      <c r="K409" s="30"/>
    </row>
    <row r="410" spans="1:11" ht="15" customHeight="1" x14ac:dyDescent="0.2">
      <c r="A410" s="282"/>
      <c r="B410" s="254" t="s">
        <v>950</v>
      </c>
      <c r="C410" s="231" t="s">
        <v>925</v>
      </c>
      <c r="D410" s="683"/>
      <c r="E410" s="683"/>
      <c r="F410" s="670"/>
      <c r="G410" s="625">
        <v>0.15</v>
      </c>
      <c r="H410" s="678" t="str">
        <f>IF(AND(ISNUMBER(G410),ISNUMBER(E410)),G410*E410,"")</f>
        <v/>
      </c>
      <c r="I410" s="709"/>
      <c r="J410" s="706"/>
      <c r="K410" s="30"/>
    </row>
    <row r="411" spans="1:11" ht="15" customHeight="1" x14ac:dyDescent="0.2">
      <c r="A411" s="282"/>
      <c r="B411" s="254" t="s">
        <v>951</v>
      </c>
      <c r="C411" s="231" t="s">
        <v>925</v>
      </c>
      <c r="D411" s="683"/>
      <c r="E411" s="683"/>
      <c r="F411" s="670"/>
      <c r="G411" s="625">
        <v>0</v>
      </c>
      <c r="H411" s="678" t="str">
        <f>IF(AND(ISNUMBER(G411),ISNUMBER(E411),ISNUMBER(D411)),G411*MAX(E411-D411,0),"")</f>
        <v/>
      </c>
      <c r="I411" s="627">
        <v>0</v>
      </c>
      <c r="J411" s="678" t="str">
        <f>IF(AND(ISNUMBER(I411),ISNUMBER(D411)),I411*D411,"")</f>
        <v/>
      </c>
      <c r="K411" s="30"/>
    </row>
    <row r="412" spans="1:11" ht="15" customHeight="1" x14ac:dyDescent="0.2">
      <c r="A412" s="279"/>
      <c r="B412" s="254" t="s">
        <v>952</v>
      </c>
      <c r="C412" s="231" t="s">
        <v>925</v>
      </c>
      <c r="D412" s="649"/>
      <c r="E412" s="649"/>
      <c r="F412" s="670"/>
      <c r="G412" s="708"/>
      <c r="H412" s="706"/>
      <c r="I412" s="628">
        <v>0</v>
      </c>
      <c r="J412" s="678" t="str">
        <f>IF(AND(ISNUMBER(I412),ISNUMBER(D412)),I412*D412,"")</f>
        <v/>
      </c>
      <c r="K412" s="30"/>
    </row>
    <row r="413" spans="1:11" ht="15" customHeight="1" x14ac:dyDescent="0.2">
      <c r="A413" s="282"/>
      <c r="B413" s="254" t="s">
        <v>953</v>
      </c>
      <c r="C413" s="231" t="s">
        <v>925</v>
      </c>
      <c r="D413" s="649"/>
      <c r="E413" s="649"/>
      <c r="F413" s="670"/>
      <c r="G413" s="708"/>
      <c r="H413" s="706"/>
      <c r="I413" s="628">
        <v>0</v>
      </c>
      <c r="J413" s="678" t="str">
        <f>IF(AND(ISNUMBER(I413),ISNUMBER(D413)),I413*D413,"")</f>
        <v/>
      </c>
      <c r="K413" s="30"/>
    </row>
    <row r="414" spans="1:11" ht="15" customHeight="1" x14ac:dyDescent="0.2">
      <c r="A414" s="282"/>
      <c r="B414" s="254" t="s">
        <v>954</v>
      </c>
      <c r="C414" s="231" t="s">
        <v>925</v>
      </c>
      <c r="D414" s="683"/>
      <c r="E414" s="683"/>
      <c r="F414" s="670"/>
      <c r="G414" s="708"/>
      <c r="H414" s="706"/>
      <c r="I414" s="627">
        <v>0</v>
      </c>
      <c r="J414" s="678" t="str">
        <f>IF(AND(ISNUMBER(I414),ISNUMBER(D414)),I414*D414,"")</f>
        <v/>
      </c>
      <c r="K414" s="30"/>
    </row>
    <row r="415" spans="1:11" ht="15" customHeight="1" x14ac:dyDescent="0.2">
      <c r="A415" s="279"/>
      <c r="B415" s="254" t="s">
        <v>955</v>
      </c>
      <c r="C415" s="231" t="s">
        <v>925</v>
      </c>
      <c r="D415" s="649"/>
      <c r="E415" s="649"/>
      <c r="F415" s="704"/>
      <c r="G415" s="631">
        <v>0.25</v>
      </c>
      <c r="H415" s="678" t="str">
        <f>IF(AND(ISNUMBER(G415),ISNUMBER(E415)),G415*E415,"")</f>
        <v/>
      </c>
      <c r="I415" s="709"/>
      <c r="J415" s="706"/>
      <c r="K415" s="30"/>
    </row>
    <row r="416" spans="1:11" ht="15" customHeight="1" x14ac:dyDescent="0.2">
      <c r="A416" s="282"/>
      <c r="B416" s="254" t="s">
        <v>956</v>
      </c>
      <c r="C416" s="231" t="s">
        <v>925</v>
      </c>
      <c r="D416" s="649"/>
      <c r="E416" s="649"/>
      <c r="F416" s="704"/>
      <c r="G416" s="631">
        <v>0.1</v>
      </c>
      <c r="H416" s="678" t="str">
        <f>IF(AND(ISNUMBER(G416),ISNUMBER(E416)),G416*E416,"")</f>
        <v/>
      </c>
      <c r="I416" s="709"/>
      <c r="J416" s="706"/>
      <c r="K416" s="30"/>
    </row>
    <row r="417" spans="1:12" ht="15" customHeight="1" x14ac:dyDescent="0.2">
      <c r="A417" s="282"/>
      <c r="B417" s="254" t="s">
        <v>957</v>
      </c>
      <c r="C417" s="231" t="s">
        <v>925</v>
      </c>
      <c r="D417" s="649"/>
      <c r="E417" s="649"/>
      <c r="F417" s="704"/>
      <c r="G417" s="625">
        <v>0</v>
      </c>
      <c r="H417" s="678" t="str">
        <f>IF(AND(ISNUMBER(D417),ISNUMBER(E417),ISNUMBER(G417)),G417*MAX(E417-D417,0),"")</f>
        <v/>
      </c>
      <c r="I417" s="627">
        <v>0</v>
      </c>
      <c r="J417" s="678" t="str">
        <f>IF(AND(ISNUMBER(I417),ISNUMBER(D417)),I417*D417,"")</f>
        <v/>
      </c>
      <c r="K417" s="30"/>
    </row>
    <row r="418" spans="1:12" ht="15" customHeight="1" x14ac:dyDescent="0.2">
      <c r="A418" s="279"/>
      <c r="B418" s="254" t="s">
        <v>958</v>
      </c>
      <c r="C418" s="231" t="s">
        <v>925</v>
      </c>
      <c r="D418" s="649"/>
      <c r="E418" s="649"/>
      <c r="F418" s="704"/>
      <c r="G418" s="708"/>
      <c r="H418" s="706"/>
      <c r="I418" s="627">
        <v>0</v>
      </c>
      <c r="J418" s="678" t="str">
        <f>IF(AND(ISNUMBER(I418),ISNUMBER(D418)),I418*D418,"")</f>
        <v/>
      </c>
      <c r="K418" s="30"/>
    </row>
    <row r="419" spans="1:12" ht="15" customHeight="1" x14ac:dyDescent="0.2">
      <c r="A419" s="282"/>
      <c r="B419" s="254" t="s">
        <v>959</v>
      </c>
      <c r="C419" s="231" t="s">
        <v>925</v>
      </c>
      <c r="D419" s="649"/>
      <c r="E419" s="649"/>
      <c r="F419" s="704"/>
      <c r="G419" s="708"/>
      <c r="H419" s="706"/>
      <c r="I419" s="627">
        <v>0</v>
      </c>
      <c r="J419" s="678" t="str">
        <f>IF(AND(ISNUMBER(I419),ISNUMBER(D419)),I419*D419,"")</f>
        <v/>
      </c>
      <c r="K419" s="30"/>
    </row>
    <row r="420" spans="1:12" ht="15" customHeight="1" x14ac:dyDescent="0.2">
      <c r="A420" s="282"/>
      <c r="B420" s="254" t="s">
        <v>960</v>
      </c>
      <c r="C420" s="231" t="s">
        <v>925</v>
      </c>
      <c r="D420" s="649"/>
      <c r="E420" s="649"/>
      <c r="F420" s="704"/>
      <c r="G420" s="631">
        <v>0.5</v>
      </c>
      <c r="H420" s="678" t="str">
        <f>IF(AND(ISNUMBER(G420),ISNUMBER(E420)),G420*E420,"")</f>
        <v/>
      </c>
      <c r="I420" s="709"/>
      <c r="J420" s="706"/>
      <c r="K420" s="30"/>
    </row>
    <row r="421" spans="1:12" ht="15" customHeight="1" x14ac:dyDescent="0.2">
      <c r="A421" s="282"/>
      <c r="B421" s="254" t="s">
        <v>961</v>
      </c>
      <c r="C421" s="231" t="s">
        <v>925</v>
      </c>
      <c r="D421" s="649"/>
      <c r="E421" s="649"/>
      <c r="F421" s="704"/>
      <c r="G421" s="631">
        <v>0.35</v>
      </c>
      <c r="H421" s="678" t="str">
        <f>IF(AND(ISNUMBER(G421),ISNUMBER(E421)),G421*E421,"")</f>
        <v/>
      </c>
      <c r="I421" s="709"/>
      <c r="J421" s="706"/>
      <c r="K421" s="30"/>
    </row>
    <row r="422" spans="1:12" ht="15" customHeight="1" x14ac:dyDescent="0.2">
      <c r="A422" s="282"/>
      <c r="B422" s="254" t="s">
        <v>962</v>
      </c>
      <c r="C422" s="231" t="s">
        <v>925</v>
      </c>
      <c r="D422" s="649"/>
      <c r="E422" s="649"/>
      <c r="F422" s="704"/>
      <c r="G422" s="631">
        <v>0.25</v>
      </c>
      <c r="H422" s="678" t="str">
        <f>IF(AND(ISNUMBER(G422),ISNUMBER(E422)),G422*E422,"")</f>
        <v/>
      </c>
      <c r="I422" s="709"/>
      <c r="J422" s="706"/>
      <c r="K422" s="30"/>
    </row>
    <row r="423" spans="1:12" ht="15" customHeight="1" x14ac:dyDescent="0.2">
      <c r="A423" s="282"/>
      <c r="B423" s="254" t="s">
        <v>963</v>
      </c>
      <c r="C423" s="231" t="s">
        <v>925</v>
      </c>
      <c r="D423" s="649"/>
      <c r="E423" s="649"/>
      <c r="F423" s="704"/>
      <c r="G423" s="625">
        <v>0</v>
      </c>
      <c r="H423" s="678" t="str">
        <f>IF(AND(ISNUMBER(D423),ISNUMBER(E423),ISNUMBER(G423)),G423*MAX(E423-D423,0),"")</f>
        <v/>
      </c>
      <c r="I423" s="627">
        <v>0</v>
      </c>
      <c r="J423" s="678" t="str">
        <f>IF(AND(ISNUMBER(I423),ISNUMBER(D423)),I423*D423,"")</f>
        <v/>
      </c>
      <c r="K423" s="30"/>
    </row>
    <row r="424" spans="1:12" ht="15" customHeight="1" x14ac:dyDescent="0.2">
      <c r="A424" s="282"/>
      <c r="B424" s="254" t="s">
        <v>964</v>
      </c>
      <c r="C424" s="231" t="s">
        <v>925</v>
      </c>
      <c r="D424" s="649"/>
      <c r="E424" s="649"/>
      <c r="F424" s="704"/>
      <c r="G424" s="708"/>
      <c r="H424" s="706"/>
      <c r="I424" s="627">
        <v>0</v>
      </c>
      <c r="J424" s="678" t="str">
        <f>IF(AND(ISNUMBER(I424),ISNUMBER(D424)),I424*D424,"")</f>
        <v/>
      </c>
      <c r="K424" s="30"/>
    </row>
    <row r="425" spans="1:12" ht="15" customHeight="1" x14ac:dyDescent="0.2">
      <c r="A425" s="282"/>
      <c r="B425" s="254" t="s">
        <v>275</v>
      </c>
      <c r="C425" s="231" t="s">
        <v>925</v>
      </c>
      <c r="D425" s="683"/>
      <c r="E425" s="683"/>
      <c r="F425" s="704"/>
      <c r="G425" s="625">
        <v>1</v>
      </c>
      <c r="H425" s="678" t="str">
        <f>IF(AND(ISNUMBER(G425),ISNUMBER(E425)),G425*E425,"")</f>
        <v/>
      </c>
      <c r="I425" s="709"/>
      <c r="J425" s="706"/>
      <c r="K425" s="30"/>
    </row>
    <row r="426" spans="1:12" ht="15" customHeight="1" x14ac:dyDescent="0.2">
      <c r="A426" s="282"/>
      <c r="B426" s="254" t="s">
        <v>965</v>
      </c>
      <c r="C426" s="231" t="s">
        <v>925</v>
      </c>
      <c r="D426" s="648"/>
      <c r="E426" s="683"/>
      <c r="F426" s="704"/>
      <c r="G426" s="625">
        <v>0.85</v>
      </c>
      <c r="H426" s="678" t="str">
        <f>IF(AND(ISNUMBER(G426),ISNUMBER(E426)),G426*E426,"")</f>
        <v/>
      </c>
      <c r="I426" s="709"/>
      <c r="J426" s="706"/>
      <c r="K426" s="30"/>
    </row>
    <row r="427" spans="1:12" ht="15" customHeight="1" x14ac:dyDescent="0.2">
      <c r="A427" s="282"/>
      <c r="B427" s="254" t="s">
        <v>966</v>
      </c>
      <c r="C427" s="231" t="s">
        <v>925</v>
      </c>
      <c r="D427" s="649"/>
      <c r="E427" s="649"/>
      <c r="F427" s="704"/>
      <c r="G427" s="631">
        <v>0.75</v>
      </c>
      <c r="H427" s="678" t="str">
        <f>IF(AND(ISNUMBER(G427),ISNUMBER(E427)),G427*E427,"")</f>
        <v/>
      </c>
      <c r="I427" s="709"/>
      <c r="J427" s="706"/>
      <c r="K427" s="30"/>
    </row>
    <row r="428" spans="1:12" ht="15" customHeight="1" x14ac:dyDescent="0.2">
      <c r="A428" s="282"/>
      <c r="B428" s="254" t="s">
        <v>967</v>
      </c>
      <c r="C428" s="231" t="s">
        <v>925</v>
      </c>
      <c r="D428" s="649"/>
      <c r="E428" s="649"/>
      <c r="F428" s="704"/>
      <c r="G428" s="631">
        <v>0.5</v>
      </c>
      <c r="H428" s="678" t="str">
        <f>IF(AND(ISNUMBER(G428),ISNUMBER(E428)),G428*E428,"")</f>
        <v/>
      </c>
      <c r="I428" s="709"/>
      <c r="J428" s="706"/>
      <c r="K428" s="30"/>
    </row>
    <row r="429" spans="1:12" ht="15" customHeight="1" x14ac:dyDescent="0.2">
      <c r="A429" s="282"/>
      <c r="B429" s="254" t="s">
        <v>276</v>
      </c>
      <c r="C429" s="231" t="s">
        <v>925</v>
      </c>
      <c r="D429" s="648"/>
      <c r="E429" s="683"/>
      <c r="F429" s="704"/>
      <c r="G429" s="625">
        <v>0</v>
      </c>
      <c r="H429" s="678" t="str">
        <f>IF(AND(ISNUMBER(G429),ISNUMBER(E429),ISNUMBER(D429)),G429*MAX(E429-D429,0),"")</f>
        <v/>
      </c>
      <c r="I429" s="627">
        <v>0</v>
      </c>
      <c r="J429" s="678" t="str">
        <f>IF(AND(ISNUMBER(I429),ISNUMBER(D429)),I429*D429,"")</f>
        <v/>
      </c>
      <c r="K429" s="30"/>
    </row>
    <row r="430" spans="1:12" ht="15" customHeight="1" x14ac:dyDescent="0.2">
      <c r="A430" s="282"/>
      <c r="B430" s="253" t="s">
        <v>277</v>
      </c>
      <c r="C430" s="212"/>
      <c r="D430" s="681"/>
      <c r="E430" s="681"/>
      <c r="F430" s="705"/>
      <c r="G430" s="708"/>
      <c r="H430" s="2" t="str">
        <f>IF(AND(ISNUMBER(H331),ISNUMBER(H346),ISNUMBER(H349),ISNUMBER(H391),ISNUMBER(H394),ISNUMBER(H403),ISNUMBER(H405),ISNUMBER(H410),ISNUMBER(H411),ISNUMBER(H425),ISNUMBER(H426),ISNUMBER(H429)),SUM(H331,H346,H349,H361,H364,H367,H376,H379,H382,H385,H391,H394,H397,H400,H403,H405,H410,H411,H415,H416,H417,H420,H421,H422,H423,H425,H426,H427,H428,H429),"")</f>
        <v/>
      </c>
      <c r="I430" s="708"/>
      <c r="J430" s="2" t="str">
        <f>IF(AND(ISNUMBER(J331),ISNUMBER(J334),ISNUMBER(J343),ISNUMBER(J349),ISNUMBER(J358),ISNUMBER(J403),ISNUMBER(J405),ISNUMBER(J406),ISNUMBER(J409),ISNUMBER(J411),ISNUMBER(J414),ISNUMBER(J429)),SUM(J331,J334,J337,J340,J343,J349,J352,J355,J358,J367,J370,J373,J385,J388,J403,J405,J406,J407,J408,J409,J411,J412,J413,J414,J417,J418,J419,J423,J424,J429),"")</f>
        <v/>
      </c>
      <c r="K430" s="30"/>
      <c r="L430" s="732"/>
    </row>
    <row r="431" spans="1:12" ht="15" customHeight="1" x14ac:dyDescent="0.2">
      <c r="A431" s="282"/>
      <c r="B431" s="385"/>
      <c r="C431" s="384"/>
      <c r="D431" s="384"/>
      <c r="E431" s="384"/>
      <c r="F431" s="384"/>
      <c r="G431" s="384"/>
      <c r="H431" s="384"/>
      <c r="I431" s="384"/>
      <c r="J431" s="384"/>
      <c r="K431" s="30"/>
    </row>
    <row r="432" spans="1:12" ht="15" customHeight="1" x14ac:dyDescent="0.2">
      <c r="A432" s="282"/>
      <c r="B432" s="386"/>
      <c r="C432" s="387"/>
      <c r="D432" s="281" t="s">
        <v>278</v>
      </c>
      <c r="E432" s="281" t="s">
        <v>279</v>
      </c>
      <c r="F432" s="663"/>
      <c r="G432" s="659"/>
      <c r="H432" s="664"/>
      <c r="I432" s="388"/>
      <c r="J432" s="389"/>
      <c r="K432" s="30"/>
    </row>
    <row r="433" spans="1:12" ht="15" customHeight="1" x14ac:dyDescent="0.2">
      <c r="A433" s="282"/>
      <c r="B433" s="633" t="s">
        <v>280</v>
      </c>
      <c r="C433" s="647"/>
      <c r="D433" s="634" t="str">
        <f>IF(AND(ISNUMBER(D332),ISNUMBER(D335)),SUM(D332,D335,D338,D341),"")</f>
        <v/>
      </c>
      <c r="E433" s="634" t="str">
        <f>IF(AND(ISNUMBER(E332),ISNUMBER(E347)),SUM(E332,E347,E362,E377),"")</f>
        <v/>
      </c>
      <c r="F433" s="663"/>
      <c r="G433" s="659"/>
      <c r="H433" s="664"/>
      <c r="I433" s="388"/>
      <c r="J433" s="389"/>
      <c r="K433" s="30"/>
      <c r="L433" s="732"/>
    </row>
    <row r="434" spans="1:12" ht="15" customHeight="1" x14ac:dyDescent="0.2">
      <c r="A434" s="282"/>
      <c r="B434" s="633" t="s">
        <v>968</v>
      </c>
      <c r="C434" s="647"/>
      <c r="D434" s="634" t="str">
        <f>IF(AND(ISNUMBER(D347),ISNUMBER(D350)),SUM(D347,D350,D353,D356),"")</f>
        <v/>
      </c>
      <c r="E434" s="634" t="str">
        <f>IF(AND(ISNUMBER(E335),ISNUMBER(E350)),SUM(E335,E350,E365,E380),"")</f>
        <v/>
      </c>
      <c r="F434" s="663"/>
      <c r="G434" s="659"/>
      <c r="H434" s="664"/>
      <c r="I434" s="388"/>
      <c r="J434" s="389"/>
      <c r="K434" s="30"/>
      <c r="L434" s="732"/>
    </row>
    <row r="435" spans="1:12" ht="15" customHeight="1" x14ac:dyDescent="0.2">
      <c r="A435" s="282"/>
      <c r="B435" s="633" t="s">
        <v>969</v>
      </c>
      <c r="C435" s="662"/>
      <c r="D435" s="634" t="str">
        <f>IF(OR(ISNUMBER(D362),ISNUMBER(D365),ISNUMBER(D368),ISNUMBER(D371)),SUM(D362,D365,D368,D371),"")</f>
        <v/>
      </c>
      <c r="E435" s="634" t="str">
        <f>IF(OR(ISNUMBER(E338),ISNUMBER(E353),ISNUMBER(E368),ISNUMBER(E383)),SUM(E338,E353,E368,E383),"")</f>
        <v/>
      </c>
      <c r="F435" s="663"/>
      <c r="G435" s="659"/>
      <c r="H435" s="664"/>
      <c r="I435" s="632"/>
      <c r="J435" s="389"/>
      <c r="K435" s="30"/>
      <c r="L435" s="732"/>
    </row>
    <row r="436" spans="1:12" ht="15" customHeight="1" x14ac:dyDescent="0.2">
      <c r="A436" s="282"/>
      <c r="B436" s="633" t="s">
        <v>970</v>
      </c>
      <c r="C436" s="662"/>
      <c r="D436" s="634" t="str">
        <f>IF(OR(ISNUMBER(D377),ISNUMBER(D380),ISNUMBER(D383),ISNUMBER(D386)),SUM(D377,D380,D383,D386),"")</f>
        <v/>
      </c>
      <c r="E436" s="634" t="str">
        <f>IF(OR(ISNUMBER(E341),ISNUMBER(E356),ISNUMBER(E371),ISNUMBER(E386)),SUM(E341,E356,E371,E386),"")</f>
        <v/>
      </c>
      <c r="F436" s="663"/>
      <c r="G436" s="659"/>
      <c r="H436" s="664"/>
      <c r="I436" s="632"/>
      <c r="J436" s="389"/>
      <c r="K436" s="30"/>
      <c r="L436" s="732"/>
    </row>
    <row r="437" spans="1:12" ht="15" customHeight="1" x14ac:dyDescent="0.2">
      <c r="A437" s="282"/>
      <c r="B437" s="242"/>
      <c r="C437" s="219"/>
      <c r="D437" s="304"/>
      <c r="E437" s="305"/>
      <c r="F437" s="306"/>
      <c r="G437" s="278"/>
      <c r="H437" s="278"/>
      <c r="I437" s="273"/>
      <c r="J437" s="273"/>
      <c r="K437" s="30"/>
    </row>
    <row r="438" spans="1:12" s="270" customFormat="1" ht="30" customHeight="1" x14ac:dyDescent="0.25">
      <c r="A438" s="43" t="s">
        <v>281</v>
      </c>
      <c r="B438" s="268"/>
      <c r="C438" s="268"/>
      <c r="D438" s="268"/>
      <c r="E438" s="268"/>
      <c r="F438" s="268"/>
      <c r="G438" s="268"/>
      <c r="H438" s="268"/>
      <c r="I438" s="390"/>
      <c r="J438" s="390"/>
      <c r="K438" s="269"/>
    </row>
    <row r="439" spans="1:12" s="270" customFormat="1" ht="15" customHeight="1" x14ac:dyDescent="0.25">
      <c r="A439" s="307"/>
      <c r="B439" s="29"/>
      <c r="C439" s="29"/>
      <c r="D439" s="29"/>
      <c r="E439" s="29"/>
      <c r="F439" s="308"/>
      <c r="G439" s="29"/>
      <c r="H439" s="29"/>
      <c r="I439" s="273"/>
      <c r="J439" s="273"/>
      <c r="K439" s="30"/>
    </row>
    <row r="440" spans="1:12" ht="15" customHeight="1" x14ac:dyDescent="0.2">
      <c r="A440" s="279"/>
      <c r="B440" s="247" t="s">
        <v>706</v>
      </c>
      <c r="C440" s="309"/>
      <c r="D440" s="246"/>
      <c r="E440" s="246"/>
      <c r="F440" s="268"/>
      <c r="G440" s="321"/>
      <c r="H440" s="284" t="str">
        <f>H77</f>
        <v/>
      </c>
      <c r="I440" s="273"/>
      <c r="J440" s="273"/>
      <c r="K440" s="30"/>
    </row>
    <row r="441" spans="1:12" ht="15" customHeight="1" x14ac:dyDescent="0.2">
      <c r="A441" s="279"/>
      <c r="B441" s="247" t="s">
        <v>59</v>
      </c>
      <c r="C441" s="309"/>
      <c r="D441" s="246"/>
      <c r="E441" s="246"/>
      <c r="F441" s="268"/>
      <c r="G441" s="321"/>
      <c r="H441" s="284" t="str">
        <f>IF(AND(ISNUMBER(H269),ISNUMBER(H324)),H269-H324,"")</f>
        <v/>
      </c>
      <c r="I441" s="273"/>
      <c r="J441" s="273"/>
      <c r="K441" s="30"/>
    </row>
    <row r="442" spans="1:12" ht="15" customHeight="1" x14ac:dyDescent="0.2">
      <c r="A442" s="279"/>
      <c r="B442" s="244" t="s">
        <v>677</v>
      </c>
      <c r="C442" s="241"/>
      <c r="D442" s="241"/>
      <c r="E442" s="241"/>
      <c r="F442" s="241"/>
      <c r="G442" s="241"/>
      <c r="H442" s="3" t="str">
        <f>IF(AND(ISNUMBER(H441),ISNUMBER(H77)),IF(H441&gt;0,H77/H441,""),"")</f>
        <v/>
      </c>
      <c r="I442" s="273"/>
      <c r="J442" s="273"/>
      <c r="K442" s="30"/>
    </row>
    <row r="443" spans="1:12" ht="15" customHeight="1" x14ac:dyDescent="0.2">
      <c r="A443" s="240"/>
      <c r="B443" s="235"/>
      <c r="C443" s="235"/>
      <c r="D443" s="235"/>
      <c r="E443" s="235"/>
      <c r="F443" s="235"/>
      <c r="G443" s="235"/>
      <c r="H443" s="235"/>
      <c r="I443" s="235"/>
      <c r="J443" s="235"/>
      <c r="K443" s="32"/>
    </row>
  </sheetData>
  <customSheetViews>
    <customSheetView guid="{15489521-78C1-4B59-8BC9-AACD7EBC6362}" scale="75" showPageBreaks="1" printArea="1" showRuler="0">
      <pane ySplit="1" topLeftCell="A2" activePane="bottomLeft" state="frozen"/>
      <selection pane="bottomLeft" activeCell="A18" sqref="A18"/>
      <rowBreaks count="5" manualBreakCount="5">
        <brk id="34" max="16" man="1"/>
        <brk id="83" max="16" man="1"/>
        <brk id="130" max="16" man="1"/>
        <brk id="185" max="16" man="1"/>
        <brk id="248"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7608A575-AD39-4DFE-B654-965E0A886A86}" scale="75" showPageBreaks="1" printArea="1" showRuler="0">
      <pane ySplit="1" topLeftCell="A2" activePane="bottomLeft" state="frozen"/>
      <selection pane="bottomLeft"/>
      <rowBreaks count="4" manualBreakCount="4">
        <brk id="34" max="16" man="1"/>
        <brk id="83" max="16" man="1"/>
        <brk id="130" max="16" man="1"/>
        <brk id="185"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2">
    <mergeCell ref="C54:C55"/>
    <mergeCell ref="D54:G54"/>
  </mergeCells>
  <phoneticPr fontId="8" type="noConversion"/>
  <conditionalFormatting sqref="D277:E277 D280:E280 D174 D172 D170 D9 D193:E193 D196:E196 D58:E58 D61:E61">
    <cfRule type="cellIs" dxfId="129" priority="61" stopIfTrue="1" operator="equal">
      <formula>"Fail"</formula>
    </cfRule>
    <cfRule type="cellIs" dxfId="128" priority="62" stopIfTrue="1" operator="equal">
      <formula>"Pass"</formula>
    </cfRule>
  </conditionalFormatting>
  <conditionalFormatting sqref="F58">
    <cfRule type="cellIs" dxfId="127" priority="59" stopIfTrue="1" operator="equal">
      <formula>"Fail"</formula>
    </cfRule>
    <cfRule type="cellIs" dxfId="126" priority="60" stopIfTrue="1" operator="equal">
      <formula>"Pass"</formula>
    </cfRule>
  </conditionalFormatting>
  <conditionalFormatting sqref="G58">
    <cfRule type="cellIs" dxfId="125" priority="57" stopIfTrue="1" operator="equal">
      <formula>"Fail"</formula>
    </cfRule>
    <cfRule type="cellIs" dxfId="124" priority="58" stopIfTrue="1" operator="equal">
      <formula>"Pass"</formula>
    </cfRule>
  </conditionalFormatting>
  <conditionalFormatting sqref="F61">
    <cfRule type="cellIs" dxfId="123" priority="55" stopIfTrue="1" operator="equal">
      <formula>"Fail"</formula>
    </cfRule>
    <cfRule type="cellIs" dxfId="122" priority="56" stopIfTrue="1" operator="equal">
      <formula>"Pass"</formula>
    </cfRule>
  </conditionalFormatting>
  <conditionalFormatting sqref="G61">
    <cfRule type="cellIs" dxfId="121" priority="53" stopIfTrue="1" operator="equal">
      <formula>"Fail"</formula>
    </cfRule>
    <cfRule type="cellIs" dxfId="120" priority="54" stopIfTrue="1" operator="equal">
      <formula>"Pass"</formula>
    </cfRule>
  </conditionalFormatting>
  <conditionalFormatting sqref="D180:E180">
    <cfRule type="cellIs" dxfId="119" priority="51" stopIfTrue="1" operator="equal">
      <formula>"Fail"</formula>
    </cfRule>
    <cfRule type="cellIs" dxfId="118" priority="52" stopIfTrue="1" operator="equal">
      <formula>"Pass"</formula>
    </cfRule>
  </conditionalFormatting>
  <conditionalFormatting sqref="D183:E183">
    <cfRule type="cellIs" dxfId="117" priority="49" stopIfTrue="1" operator="equal">
      <formula>"Fail"</formula>
    </cfRule>
    <cfRule type="cellIs" dxfId="116" priority="50" stopIfTrue="1" operator="equal">
      <formula>"Pass"</formula>
    </cfRule>
  </conditionalFormatting>
  <conditionalFormatting sqref="D186:E186">
    <cfRule type="cellIs" dxfId="115" priority="47" stopIfTrue="1" operator="equal">
      <formula>"Fail"</formula>
    </cfRule>
    <cfRule type="cellIs" dxfId="114" priority="48" stopIfTrue="1" operator="equal">
      <formula>"Pass"</formula>
    </cfRule>
  </conditionalFormatting>
  <conditionalFormatting sqref="D189:E189">
    <cfRule type="cellIs" dxfId="113" priority="45" stopIfTrue="1" operator="equal">
      <formula>"Fail"</formula>
    </cfRule>
    <cfRule type="cellIs" dxfId="112" priority="46" stopIfTrue="1" operator="equal">
      <formula>"Pass"</formula>
    </cfRule>
  </conditionalFormatting>
  <conditionalFormatting sqref="D199:E199">
    <cfRule type="cellIs" dxfId="111" priority="43" stopIfTrue="1" operator="equal">
      <formula>"Fail"</formula>
    </cfRule>
    <cfRule type="cellIs" dxfId="110" priority="44" stopIfTrue="1" operator="equal">
      <formula>"Pass"</formula>
    </cfRule>
  </conditionalFormatting>
  <conditionalFormatting sqref="D203:E203">
    <cfRule type="cellIs" dxfId="109" priority="41" stopIfTrue="1" operator="equal">
      <formula>"Fail"</formula>
    </cfRule>
    <cfRule type="cellIs" dxfId="108" priority="42" stopIfTrue="1" operator="equal">
      <formula>"Pass"</formula>
    </cfRule>
  </conditionalFormatting>
  <conditionalFormatting sqref="D206:E206">
    <cfRule type="cellIs" dxfId="107" priority="39" stopIfTrue="1" operator="equal">
      <formula>"Fail"</formula>
    </cfRule>
    <cfRule type="cellIs" dxfId="106" priority="40" stopIfTrue="1" operator="equal">
      <formula>"Pass"</formula>
    </cfRule>
  </conditionalFormatting>
  <conditionalFormatting sqref="D283:E283">
    <cfRule type="cellIs" dxfId="105" priority="37" stopIfTrue="1" operator="equal">
      <formula>"Fail"</formula>
    </cfRule>
    <cfRule type="cellIs" dxfId="104" priority="38" stopIfTrue="1" operator="equal">
      <formula>"Pass"</formula>
    </cfRule>
  </conditionalFormatting>
  <conditionalFormatting sqref="D286:E286">
    <cfRule type="cellIs" dxfId="103" priority="35" stopIfTrue="1" operator="equal">
      <formula>"Fail"</formula>
    </cfRule>
    <cfRule type="cellIs" dxfId="102" priority="36" stopIfTrue="1" operator="equal">
      <formula>"Pass"</formula>
    </cfRule>
  </conditionalFormatting>
  <conditionalFormatting sqref="D333:E333 D336:E336 D345:E345 D348:E348 D351:E351 D360:E360 D393:E393 D396:E396">
    <cfRule type="cellIs" dxfId="101" priority="33" stopIfTrue="1" operator="equal">
      <formula>"Fail"</formula>
    </cfRule>
    <cfRule type="cellIs" dxfId="100" priority="34" stopIfTrue="1" operator="equal">
      <formula>"Pass"</formula>
    </cfRule>
  </conditionalFormatting>
  <conditionalFormatting sqref="D339:E339">
    <cfRule type="cellIs" dxfId="99" priority="31" stopIfTrue="1" operator="equal">
      <formula>"Fail"</formula>
    </cfRule>
    <cfRule type="cellIs" dxfId="98" priority="32" stopIfTrue="1" operator="equal">
      <formula>"Pass"</formula>
    </cfRule>
  </conditionalFormatting>
  <conditionalFormatting sqref="D342:E342">
    <cfRule type="cellIs" dxfId="97" priority="29" stopIfTrue="1" operator="equal">
      <formula>"Fail"</formula>
    </cfRule>
    <cfRule type="cellIs" dxfId="96" priority="30" stopIfTrue="1" operator="equal">
      <formula>"Pass"</formula>
    </cfRule>
  </conditionalFormatting>
  <conditionalFormatting sqref="D354:E354">
    <cfRule type="cellIs" dxfId="95" priority="27" stopIfTrue="1" operator="equal">
      <formula>"Fail"</formula>
    </cfRule>
    <cfRule type="cellIs" dxfId="94" priority="28" stopIfTrue="1" operator="equal">
      <formula>"Pass"</formula>
    </cfRule>
  </conditionalFormatting>
  <conditionalFormatting sqref="D357:E357">
    <cfRule type="cellIs" dxfId="93" priority="25" stopIfTrue="1" operator="equal">
      <formula>"Fail"</formula>
    </cfRule>
    <cfRule type="cellIs" dxfId="92" priority="26" stopIfTrue="1" operator="equal">
      <formula>"Pass"</formula>
    </cfRule>
  </conditionalFormatting>
  <conditionalFormatting sqref="D363:E363">
    <cfRule type="cellIs" dxfId="91" priority="23" stopIfTrue="1" operator="equal">
      <formula>"Fail"</formula>
    </cfRule>
    <cfRule type="cellIs" dxfId="90" priority="24" stopIfTrue="1" operator="equal">
      <formula>"Pass"</formula>
    </cfRule>
  </conditionalFormatting>
  <conditionalFormatting sqref="D366:E366">
    <cfRule type="cellIs" dxfId="89" priority="21" stopIfTrue="1" operator="equal">
      <formula>"Fail"</formula>
    </cfRule>
    <cfRule type="cellIs" dxfId="88" priority="22" stopIfTrue="1" operator="equal">
      <formula>"Pass"</formula>
    </cfRule>
  </conditionalFormatting>
  <conditionalFormatting sqref="D369:E369">
    <cfRule type="cellIs" dxfId="87" priority="19" stopIfTrue="1" operator="equal">
      <formula>"Fail"</formula>
    </cfRule>
    <cfRule type="cellIs" dxfId="86" priority="20" stopIfTrue="1" operator="equal">
      <formula>"Pass"</formula>
    </cfRule>
  </conditionalFormatting>
  <conditionalFormatting sqref="D372:E372">
    <cfRule type="cellIs" dxfId="85" priority="17" stopIfTrue="1" operator="equal">
      <formula>"Fail"</formula>
    </cfRule>
    <cfRule type="cellIs" dxfId="84" priority="18" stopIfTrue="1" operator="equal">
      <formula>"Pass"</formula>
    </cfRule>
  </conditionalFormatting>
  <conditionalFormatting sqref="D375:E375">
    <cfRule type="cellIs" dxfId="83" priority="15" stopIfTrue="1" operator="equal">
      <formula>"Fail"</formula>
    </cfRule>
    <cfRule type="cellIs" dxfId="82" priority="16" stopIfTrue="1" operator="equal">
      <formula>"Pass"</formula>
    </cfRule>
  </conditionalFormatting>
  <conditionalFormatting sqref="D378:E378">
    <cfRule type="cellIs" dxfId="81" priority="13" stopIfTrue="1" operator="equal">
      <formula>"Fail"</formula>
    </cfRule>
    <cfRule type="cellIs" dxfId="80" priority="14" stopIfTrue="1" operator="equal">
      <formula>"Pass"</formula>
    </cfRule>
  </conditionalFormatting>
  <conditionalFormatting sqref="D381:E381">
    <cfRule type="cellIs" dxfId="79" priority="11" stopIfTrue="1" operator="equal">
      <formula>"Fail"</formula>
    </cfRule>
    <cfRule type="cellIs" dxfId="78" priority="12" stopIfTrue="1" operator="equal">
      <formula>"Pass"</formula>
    </cfRule>
  </conditionalFormatting>
  <conditionalFormatting sqref="D384:E384">
    <cfRule type="cellIs" dxfId="77" priority="9" stopIfTrue="1" operator="equal">
      <formula>"Fail"</formula>
    </cfRule>
    <cfRule type="cellIs" dxfId="76" priority="10" stopIfTrue="1" operator="equal">
      <formula>"Pass"</formula>
    </cfRule>
  </conditionalFormatting>
  <conditionalFormatting sqref="D387:E387">
    <cfRule type="cellIs" dxfId="75" priority="7" stopIfTrue="1" operator="equal">
      <formula>"Fail"</formula>
    </cfRule>
    <cfRule type="cellIs" dxfId="74" priority="8" stopIfTrue="1" operator="equal">
      <formula>"Pass"</formula>
    </cfRule>
  </conditionalFormatting>
  <conditionalFormatting sqref="D390:E390">
    <cfRule type="cellIs" dxfId="73" priority="5" stopIfTrue="1" operator="equal">
      <formula>"Fail"</formula>
    </cfRule>
    <cfRule type="cellIs" dxfId="72" priority="6" stopIfTrue="1" operator="equal">
      <formula>"Pass"</formula>
    </cfRule>
  </conditionalFormatting>
  <conditionalFormatting sqref="D399:E399">
    <cfRule type="cellIs" dxfId="71" priority="3" stopIfTrue="1" operator="equal">
      <formula>"Fail"</formula>
    </cfRule>
    <cfRule type="cellIs" dxfId="70" priority="4" stopIfTrue="1" operator="equal">
      <formula>"Pass"</formula>
    </cfRule>
  </conditionalFormatting>
  <conditionalFormatting sqref="D402:E402">
    <cfRule type="cellIs" dxfId="69" priority="1" stopIfTrue="1" operator="equal">
      <formula>"Fail"</formula>
    </cfRule>
    <cfRule type="cellIs" dxfId="68" priority="2"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0" manualBreakCount="10">
    <brk id="34" max="10" man="1"/>
    <brk id="78" max="10" man="1"/>
    <brk id="129" max="10" man="1"/>
    <brk id="174" max="10" man="1"/>
    <brk id="210" max="10" man="1"/>
    <brk id="251" max="10" man="1"/>
    <brk id="296" max="10" man="1"/>
    <brk id="325" max="10" man="1"/>
    <brk id="381" max="10" man="1"/>
    <brk id="43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3"/>
  </sheetPr>
  <dimension ref="A1:U259"/>
  <sheetViews>
    <sheetView zoomScale="70" zoomScaleNormal="70" zoomScaleSheetLayoutView="75" workbookViewId="0"/>
  </sheetViews>
  <sheetFormatPr defaultRowHeight="15" customHeight="1" x14ac:dyDescent="0.2"/>
  <cols>
    <col min="1" max="1" width="1.7109375" style="76" customWidth="1"/>
    <col min="2" max="2" width="70.7109375" style="76" customWidth="1"/>
    <col min="3" max="7" width="16.7109375" style="76" customWidth="1"/>
    <col min="8" max="8" width="1.7109375" style="76" customWidth="1"/>
    <col min="9" max="10" width="16.7109375" style="76" customWidth="1"/>
    <col min="11" max="11" width="1.7109375" style="76" customWidth="1"/>
    <col min="12" max="14" width="16.7109375" style="76" customWidth="1"/>
    <col min="15" max="15" width="1.7109375" style="76" customWidth="1"/>
    <col min="16" max="16" width="17" style="76" hidden="1" customWidth="1"/>
    <col min="17" max="16384" width="9.140625" style="76"/>
  </cols>
  <sheetData>
    <row r="1" spans="1:16" s="328" customFormat="1" ht="30" customHeight="1" x14ac:dyDescent="0.4">
      <c r="A1" s="263" t="s">
        <v>70</v>
      </c>
      <c r="B1" s="326"/>
      <c r="C1" s="326"/>
      <c r="D1" s="326"/>
      <c r="E1" s="326"/>
      <c r="F1" s="326"/>
      <c r="G1" s="326"/>
      <c r="H1" s="326"/>
      <c r="I1" s="326"/>
      <c r="J1" s="249"/>
      <c r="K1" s="327"/>
      <c r="L1" s="327"/>
      <c r="M1" s="327"/>
      <c r="N1" s="327"/>
      <c r="O1" s="459"/>
      <c r="P1" s="344"/>
    </row>
    <row r="2" spans="1:16" s="331" customFormat="1" ht="30" customHeight="1" x14ac:dyDescent="0.25">
      <c r="A2" s="52" t="s">
        <v>178</v>
      </c>
      <c r="B2" s="73"/>
      <c r="C2" s="73"/>
      <c r="D2" s="73"/>
      <c r="E2" s="73"/>
      <c r="F2" s="73"/>
      <c r="G2" s="73"/>
      <c r="H2" s="73"/>
      <c r="I2" s="73"/>
      <c r="J2" s="329"/>
      <c r="K2" s="329"/>
      <c r="L2" s="329"/>
      <c r="M2" s="329"/>
      <c r="N2" s="329"/>
      <c r="O2" s="330"/>
      <c r="P2" s="371"/>
    </row>
    <row r="3" spans="1:16" s="334" customFormat="1" ht="15" customHeight="1" x14ac:dyDescent="0.2">
      <c r="A3" s="222"/>
      <c r="B3" s="225"/>
      <c r="C3" s="226"/>
      <c r="D3" s="227"/>
      <c r="E3" s="228"/>
      <c r="F3" s="228"/>
      <c r="G3" s="228"/>
      <c r="H3" s="228"/>
      <c r="I3" s="332"/>
      <c r="J3" s="333"/>
      <c r="K3" s="332"/>
      <c r="L3" s="332"/>
      <c r="M3" s="332"/>
      <c r="N3" s="332"/>
      <c r="O3" s="460"/>
      <c r="P3" s="332"/>
    </row>
    <row r="4" spans="1:16" s="336" customFormat="1" ht="15" customHeight="1" x14ac:dyDescent="0.2">
      <c r="A4" s="335"/>
      <c r="B4" s="854"/>
      <c r="C4" s="851" t="s">
        <v>643</v>
      </c>
      <c r="D4" s="851"/>
      <c r="E4" s="851"/>
      <c r="F4" s="851"/>
      <c r="G4" s="851"/>
      <c r="H4" s="74"/>
      <c r="I4" s="848" t="s">
        <v>150</v>
      </c>
      <c r="J4" s="848" t="s">
        <v>151</v>
      </c>
      <c r="K4" s="74"/>
      <c r="L4" s="848" t="s">
        <v>152</v>
      </c>
      <c r="M4" s="848" t="s">
        <v>153</v>
      </c>
      <c r="N4" s="848" t="s">
        <v>154</v>
      </c>
      <c r="O4" s="461"/>
      <c r="P4" s="74"/>
    </row>
    <row r="5" spans="1:16" ht="30" customHeight="1" x14ac:dyDescent="0.2">
      <c r="A5" s="337"/>
      <c r="B5" s="855"/>
      <c r="C5" s="260" t="s">
        <v>155</v>
      </c>
      <c r="D5" s="260" t="s">
        <v>729</v>
      </c>
      <c r="E5" s="260" t="s">
        <v>730</v>
      </c>
      <c r="F5" s="260" t="s">
        <v>731</v>
      </c>
      <c r="G5" s="260" t="s">
        <v>732</v>
      </c>
      <c r="H5" s="74"/>
      <c r="I5" s="849"/>
      <c r="J5" s="849"/>
      <c r="K5" s="74"/>
      <c r="L5" s="849"/>
      <c r="M5" s="849"/>
      <c r="N5" s="849"/>
      <c r="O5" s="462"/>
      <c r="P5" s="355"/>
    </row>
    <row r="6" spans="1:16" ht="15" customHeight="1" x14ac:dyDescent="0.2">
      <c r="A6" s="337"/>
      <c r="B6" s="435" t="s">
        <v>582</v>
      </c>
      <c r="C6" s="338"/>
      <c r="D6" s="338"/>
      <c r="E6" s="338"/>
      <c r="F6" s="338"/>
      <c r="G6" s="339"/>
      <c r="H6" s="74"/>
      <c r="I6" s="338"/>
      <c r="J6" s="340">
        <v>1</v>
      </c>
      <c r="K6" s="74"/>
      <c r="L6" s="338"/>
      <c r="M6" s="341" t="str">
        <f>IF(AND(ISNUMBER(G6),ISNUMBER(J6)),SUM(G6)*J6,"")</f>
        <v/>
      </c>
      <c r="N6" s="341" t="str">
        <f>M6</f>
        <v/>
      </c>
      <c r="O6" s="462"/>
      <c r="P6" s="355"/>
    </row>
    <row r="7" spans="1:16" ht="15" customHeight="1" x14ac:dyDescent="0.2">
      <c r="A7" s="337"/>
      <c r="B7" s="436" t="str">
        <f>CONCATENATE("Check: row ", ROW(B6), " = ", ADDRESS(ROW('General Info'!D51), COLUMN('General Info'!D51), 4), " + ", ADDRESS(ROW('General Info'!D52), COLUMN('General Info'!D52), 4), " in the General Info worksheet")</f>
        <v>Check: row 6 = D51 + D52 in the General Info worksheet</v>
      </c>
      <c r="C7" s="338"/>
      <c r="D7" s="338"/>
      <c r="E7" s="338"/>
      <c r="F7" s="338"/>
      <c r="G7" s="495" t="str">
        <f>IF(G6=SUM('General Info'!D51:D52),"Pass","Fail")</f>
        <v>Pass</v>
      </c>
      <c r="H7" s="74"/>
      <c r="I7" s="338"/>
      <c r="J7" s="338"/>
      <c r="K7" s="74"/>
      <c r="L7" s="338"/>
      <c r="M7" s="338"/>
      <c r="N7" s="338"/>
      <c r="O7" s="462"/>
      <c r="P7" s="355"/>
    </row>
    <row r="8" spans="1:16" ht="15" customHeight="1" x14ac:dyDescent="0.2">
      <c r="A8" s="337"/>
      <c r="B8" s="342" t="s">
        <v>768</v>
      </c>
      <c r="C8" s="338"/>
      <c r="D8" s="338"/>
      <c r="E8" s="338"/>
      <c r="F8" s="338"/>
      <c r="G8" s="339"/>
      <c r="H8" s="74"/>
      <c r="I8" s="338"/>
      <c r="J8" s="340">
        <v>1</v>
      </c>
      <c r="K8" s="74"/>
      <c r="L8" s="338"/>
      <c r="M8" s="341" t="str">
        <f>IF(AND(ISNUMBER(G8),ISNUMBER(J8)),SUM(G8)*J8,"")</f>
        <v/>
      </c>
      <c r="N8" s="341" t="str">
        <f>M8</f>
        <v/>
      </c>
      <c r="O8" s="462"/>
      <c r="P8" s="355"/>
    </row>
    <row r="9" spans="1:16" ht="30" customHeight="1" x14ac:dyDescent="0.2">
      <c r="A9" s="337"/>
      <c r="B9" s="342" t="s">
        <v>167</v>
      </c>
      <c r="C9" s="339"/>
      <c r="D9" s="339"/>
      <c r="E9" s="339"/>
      <c r="F9" s="339"/>
      <c r="G9" s="339"/>
      <c r="H9" s="74"/>
      <c r="I9" s="340">
        <v>0.9</v>
      </c>
      <c r="J9" s="340">
        <v>1</v>
      </c>
      <c r="K9" s="74"/>
      <c r="L9" s="341" t="str">
        <f>IF(AND(ISNUMBER(C9),ISNUMBER(D9),ISNUMBER(E9),ISNUMBER(F9),ISNUMBER(I9)),SUM(C9:F9)*I9,"")</f>
        <v/>
      </c>
      <c r="M9" s="341" t="str">
        <f>IF(AND(ISNUMBER(G9),ISNUMBER(J9)),SUM(G9)*J9,"")</f>
        <v/>
      </c>
      <c r="N9" s="341" t="str">
        <f>IF(AND(ISNUMBER(L9),ISNUMBER(M9)),SUM(L9:M9),"")</f>
        <v/>
      </c>
      <c r="O9" s="462"/>
      <c r="P9" s="355"/>
    </row>
    <row r="10" spans="1:16" s="28" customFormat="1" ht="15" customHeight="1" x14ac:dyDescent="0.2">
      <c r="A10" s="484"/>
      <c r="B10" s="436" t="str">
        <f>CONCATENATE("Check: row ", ROW(B9), " ≥ LCR stable retail and small business customer deposits")</f>
        <v>Check: row 9 ≥ LCR stable retail and small business customer deposits</v>
      </c>
      <c r="C10" s="495" t="str">
        <f>IF(C9&gt;=SUM(LCR!D87:D88,LCR!D90:D91,LCR!D94:D95,LCR!D97:D98,LCR!D116:D117,LCR!D119:D120,LCR!D123:D124,LCR!D126:D127),"Pass","Fail")</f>
        <v>Pass</v>
      </c>
      <c r="D10" s="39"/>
      <c r="E10" s="39"/>
      <c r="F10" s="39"/>
      <c r="G10" s="39"/>
      <c r="H10" s="407"/>
      <c r="I10" s="39"/>
      <c r="J10" s="39"/>
      <c r="K10" s="407"/>
      <c r="L10" s="39"/>
      <c r="M10" s="39"/>
      <c r="N10" s="39"/>
      <c r="O10" s="30"/>
      <c r="P10" s="29"/>
    </row>
    <row r="11" spans="1:16" ht="30" customHeight="1" x14ac:dyDescent="0.2">
      <c r="A11" s="337"/>
      <c r="B11" s="342" t="s">
        <v>168</v>
      </c>
      <c r="C11" s="339"/>
      <c r="D11" s="339"/>
      <c r="E11" s="339"/>
      <c r="F11" s="339"/>
      <c r="G11" s="339"/>
      <c r="H11" s="74"/>
      <c r="I11" s="340">
        <v>0.8</v>
      </c>
      <c r="J11" s="340">
        <v>1</v>
      </c>
      <c r="K11" s="74"/>
      <c r="L11" s="341" t="str">
        <f>IF(AND(ISNUMBER(C11),ISNUMBER(D11),ISNUMBER(E11),ISNUMBER(F11),ISNUMBER(I11)),SUM(C11:F11)*I11,"")</f>
        <v/>
      </c>
      <c r="M11" s="341" t="str">
        <f>IF(AND(ISNUMBER(G11),ISNUMBER(J11)),SUM(G11)*J11,"")</f>
        <v/>
      </c>
      <c r="N11" s="341" t="str">
        <f>IF(AND(ISNUMBER(L11),ISNUMBER(M11)),SUM(L11:M11),"")</f>
        <v/>
      </c>
      <c r="O11" s="462"/>
      <c r="P11" s="355"/>
    </row>
    <row r="12" spans="1:16" s="28" customFormat="1" ht="15" customHeight="1" x14ac:dyDescent="0.2">
      <c r="A12" s="484"/>
      <c r="B12" s="436" t="str">
        <f>CONCATENATE("Check: row ", ROW(B11), " ≥ LCR less stable retail and small business customer deposits")</f>
        <v>Check: row 11 ≥ LCR less stable retail and small business customer deposits</v>
      </c>
      <c r="C12" s="495" t="str">
        <f>IF(C11&gt;=SUM(LCR!D99:D100,LCR!D102:D104,LCR!D128:D129,LCR!D131:D133),"Pass","Fail")</f>
        <v>Pass</v>
      </c>
      <c r="D12" s="39"/>
      <c r="E12" s="39"/>
      <c r="F12" s="39"/>
      <c r="G12" s="39"/>
      <c r="H12" s="407"/>
      <c r="I12" s="39"/>
      <c r="J12" s="39"/>
      <c r="K12" s="407"/>
      <c r="L12" s="39"/>
      <c r="M12" s="39"/>
      <c r="N12" s="39"/>
      <c r="O12" s="30"/>
      <c r="P12" s="29"/>
    </row>
    <row r="13" spans="1:16" ht="15" customHeight="1" x14ac:dyDescent="0.2">
      <c r="A13" s="337"/>
      <c r="B13" s="9" t="s">
        <v>353</v>
      </c>
      <c r="C13" s="406"/>
      <c r="D13" s="406"/>
      <c r="E13" s="406"/>
      <c r="F13" s="406"/>
      <c r="G13" s="406"/>
      <c r="H13" s="407"/>
      <c r="I13" s="408">
        <v>0</v>
      </c>
      <c r="J13" s="408">
        <v>1</v>
      </c>
      <c r="K13" s="407"/>
      <c r="L13" s="341" t="str">
        <f>IF(AND(ISNUMBER(C13),ISNUMBER(D13),ISNUMBER(E13),ISNUMBER(F13),ISNUMBER(I13)),SUM(C13:F13)*I13,"")</f>
        <v/>
      </c>
      <c r="M13" s="341" t="str">
        <f>IF(AND(ISNUMBER(G13),ISNUMBER(J13)),SUM(G13)*J13,"")</f>
        <v/>
      </c>
      <c r="N13" s="341" t="str">
        <f>IF(AND(ISNUMBER(L13),ISNUMBER(M13)),SUM(L13:M13),"")</f>
        <v/>
      </c>
      <c r="O13" s="462"/>
      <c r="P13" s="355"/>
    </row>
    <row r="14" spans="1:16" s="28" customFormat="1" ht="15" customHeight="1" x14ac:dyDescent="0.2">
      <c r="A14" s="484"/>
      <c r="B14" s="436" t="str">
        <f>CONCATENATE("Check: row ", ROW(B13), " ≥ LCR unsecured debt issued")</f>
        <v>Check: row 13 ≥ LCR unsecured debt issued</v>
      </c>
      <c r="C14" s="495" t="str">
        <f>IF(C13&gt;=SUM(LCR!D164),"Pass","Fail")</f>
        <v>Pass</v>
      </c>
      <c r="D14" s="39"/>
      <c r="E14" s="39"/>
      <c r="F14" s="39"/>
      <c r="G14" s="39"/>
      <c r="H14" s="407"/>
      <c r="I14" s="39"/>
      <c r="J14" s="39"/>
      <c r="K14" s="407"/>
      <c r="L14" s="39"/>
      <c r="M14" s="39"/>
      <c r="N14" s="39"/>
      <c r="O14" s="30"/>
      <c r="P14" s="29"/>
    </row>
    <row r="15" spans="1:16" ht="15" customHeight="1" x14ac:dyDescent="0.2">
      <c r="A15" s="337"/>
      <c r="B15" s="342" t="s">
        <v>169</v>
      </c>
      <c r="C15" s="339"/>
      <c r="D15" s="339"/>
      <c r="E15" s="339"/>
      <c r="F15" s="339"/>
      <c r="G15" s="339"/>
      <c r="H15" s="74"/>
      <c r="I15" s="340">
        <v>0.5</v>
      </c>
      <c r="J15" s="340">
        <v>1</v>
      </c>
      <c r="K15" s="74"/>
      <c r="L15" s="341" t="str">
        <f>IF(AND(ISNUMBER(C15),ISNUMBER(D15),ISNUMBER(E15),ISNUMBER(F15),ISNUMBER(I15)),SUM(C15:F15)*I15,"")</f>
        <v/>
      </c>
      <c r="M15" s="341" t="str">
        <f>IF(AND(ISNUMBER(G15),ISNUMBER(J15)),SUM(G15)*J15,"")</f>
        <v/>
      </c>
      <c r="N15" s="341" t="str">
        <f>IF(AND(ISNUMBER(L15),ISNUMBER(M15)),SUM(L15:M15),"")</f>
        <v/>
      </c>
      <c r="O15" s="462"/>
      <c r="P15" s="355"/>
    </row>
    <row r="16" spans="1:16" s="334" customFormat="1" ht="15" customHeight="1" x14ac:dyDescent="0.2">
      <c r="A16" s="337"/>
      <c r="B16" s="259" t="s">
        <v>170</v>
      </c>
      <c r="C16" s="343"/>
      <c r="D16" s="343"/>
      <c r="E16" s="343"/>
      <c r="F16" s="343"/>
      <c r="G16" s="343"/>
      <c r="H16" s="344"/>
      <c r="I16" s="345"/>
      <c r="J16" s="345"/>
      <c r="K16" s="344"/>
      <c r="L16" s="345"/>
      <c r="M16" s="345"/>
      <c r="N16" s="345"/>
      <c r="O16" s="460"/>
      <c r="P16" s="355"/>
    </row>
    <row r="17" spans="1:17" s="28" customFormat="1" ht="15" customHeight="1" x14ac:dyDescent="0.2">
      <c r="A17" s="484"/>
      <c r="B17" s="436" t="str">
        <f>CONCATENATE("Check: row ", ROW(B15), " ≥ LCR unsecured funding from non-financial corporates")</f>
        <v>Check: row 15 ≥ LCR unsecured funding from non-financial corporates</v>
      </c>
      <c r="C17" s="495" t="str">
        <f>IF(C15&gt;=SUM(LCR!D139:D141,LCR!D156:D157),"Pass","Fail")</f>
        <v>Pass</v>
      </c>
      <c r="D17" s="39"/>
      <c r="E17" s="39"/>
      <c r="F17" s="39"/>
      <c r="G17" s="39"/>
      <c r="H17" s="407"/>
      <c r="I17" s="39"/>
      <c r="J17" s="39"/>
      <c r="K17" s="407"/>
      <c r="L17" s="39"/>
      <c r="M17" s="39"/>
      <c r="N17" s="39"/>
      <c r="O17" s="30"/>
      <c r="P17" s="29"/>
    </row>
    <row r="18" spans="1:17" s="28" customFormat="1" ht="15" customHeight="1" x14ac:dyDescent="0.2">
      <c r="A18" s="484"/>
      <c r="B18" s="436" t="str">
        <f>CONCATENATE("Check: row ", ROW(B16), " ≥ LCR operational deposits from non-financial corporates")</f>
        <v>Check: row 16 ≥ LCR operational deposits from non-financial corporates</v>
      </c>
      <c r="C18" s="495" t="str">
        <f>IF(C16&gt;=SUM(LCR!D139:D141),"Pass","Fail")</f>
        <v>Pass</v>
      </c>
      <c r="D18" s="39"/>
      <c r="E18" s="39"/>
      <c r="F18" s="39"/>
      <c r="G18" s="39"/>
      <c r="H18" s="407"/>
      <c r="I18" s="39"/>
      <c r="J18" s="39"/>
      <c r="K18" s="407"/>
      <c r="L18" s="39"/>
      <c r="M18" s="39"/>
      <c r="N18" s="39"/>
      <c r="O18" s="30"/>
      <c r="P18" s="29"/>
    </row>
    <row r="19" spans="1:17" s="334" customFormat="1" ht="15" customHeight="1" x14ac:dyDescent="0.2">
      <c r="A19" s="337"/>
      <c r="B19" s="436" t="str">
        <f>CONCATENATE("Check: row ", ROW(B16), " ≤ row ", ROW(B15), " for each column")</f>
        <v>Check: row 16 ≤ row 15 for each column</v>
      </c>
      <c r="C19" s="495" t="str">
        <f>IF(SUM(C16&lt;=C15),"Pass","Fail")</f>
        <v>Pass</v>
      </c>
      <c r="D19" s="495" t="str">
        <f>IF(SUM(D16&lt;=D15),"Pass","Fail")</f>
        <v>Pass</v>
      </c>
      <c r="E19" s="495" t="str">
        <f>IF(SUM(E16&lt;=E15),"Pass","Fail")</f>
        <v>Pass</v>
      </c>
      <c r="F19" s="495" t="str">
        <f>IF(SUM(F16&lt;=F15),"Pass","Fail")</f>
        <v>Pass</v>
      </c>
      <c r="G19" s="495" t="str">
        <f>IF(SUM(G16&lt;=G15),"Pass","Fail")</f>
        <v>Pass</v>
      </c>
      <c r="H19" s="344"/>
      <c r="I19" s="345"/>
      <c r="J19" s="345"/>
      <c r="K19" s="344"/>
      <c r="L19" s="345"/>
      <c r="M19" s="345"/>
      <c r="N19" s="345"/>
      <c r="O19" s="460"/>
      <c r="P19" s="355"/>
    </row>
    <row r="20" spans="1:17" s="334" customFormat="1" ht="15" customHeight="1" x14ac:dyDescent="0.2">
      <c r="A20" s="335"/>
      <c r="B20" s="346" t="s">
        <v>352</v>
      </c>
      <c r="C20" s="343"/>
      <c r="D20" s="343"/>
      <c r="E20" s="343"/>
      <c r="F20" s="343"/>
      <c r="G20" s="343"/>
      <c r="H20" s="344"/>
      <c r="I20" s="347">
        <v>0.5</v>
      </c>
      <c r="J20" s="347">
        <v>1</v>
      </c>
      <c r="K20" s="344"/>
      <c r="L20" s="341" t="str">
        <f>IF(AND(ISNUMBER(C20),ISNUMBER(D20),ISNUMBER(E20),ISNUMBER(F20),ISNUMBER(I20)),SUM(C20:F20)*I20,"")</f>
        <v/>
      </c>
      <c r="M20" s="341" t="str">
        <f>IF(AND(ISNUMBER(G20),ISNUMBER(J20)),SUM(G20)*J20,"")</f>
        <v/>
      </c>
      <c r="N20" s="341" t="str">
        <f>IF(AND(ISNUMBER(L20),ISNUMBER(M20)),SUM(L20:M20),"")</f>
        <v/>
      </c>
      <c r="O20" s="460"/>
      <c r="P20" s="355"/>
    </row>
    <row r="21" spans="1:17" s="334" customFormat="1" ht="15" customHeight="1" x14ac:dyDescent="0.2">
      <c r="A21" s="335"/>
      <c r="B21" s="259" t="s">
        <v>170</v>
      </c>
      <c r="C21" s="343"/>
      <c r="D21" s="343"/>
      <c r="E21" s="343"/>
      <c r="F21" s="343"/>
      <c r="G21" s="343"/>
      <c r="H21" s="344"/>
      <c r="I21" s="345"/>
      <c r="J21" s="345"/>
      <c r="K21" s="344"/>
      <c r="L21" s="345"/>
      <c r="M21" s="345"/>
      <c r="N21" s="345"/>
      <c r="O21" s="460"/>
      <c r="P21" s="355"/>
    </row>
    <row r="22" spans="1:17" s="28" customFormat="1" ht="30" customHeight="1" x14ac:dyDescent="0.2">
      <c r="A22" s="484"/>
      <c r="B22" s="436" t="str">
        <f>CONCATENATE("Check: row ", ROW(B20), " ≥ LCR unsecured funding from sovereigns/central banks/PSEs/MDBs")</f>
        <v>Check: row 20 ≥ LCR unsecured funding from sovereigns/central banks/PSEs/MDBs</v>
      </c>
      <c r="C22" s="495" t="str">
        <f>IF(C20&gt;=SUM(LCR!D143:D145,LCR!D159:D160),"Pass","Fail")</f>
        <v>Pass</v>
      </c>
      <c r="D22" s="39"/>
      <c r="E22" s="39"/>
      <c r="F22" s="39"/>
      <c r="G22" s="39"/>
      <c r="H22" s="407"/>
      <c r="I22" s="39"/>
      <c r="J22" s="39"/>
      <c r="K22" s="407"/>
      <c r="L22" s="39"/>
      <c r="M22" s="39"/>
      <c r="N22" s="39"/>
      <c r="O22" s="30"/>
      <c r="P22" s="29"/>
    </row>
    <row r="23" spans="1:17" s="28" customFormat="1" ht="30" customHeight="1" x14ac:dyDescent="0.2">
      <c r="A23" s="484"/>
      <c r="B23" s="436" t="str">
        <f>CONCATENATE("Check: row ", ROW(B21), " ≥ LCR operational deposits from sovereigns/central banks/PSEs/MDBs")</f>
        <v>Check: row 21 ≥ LCR operational deposits from sovereigns/central banks/PSEs/MDBs</v>
      </c>
      <c r="C23" s="495" t="str">
        <f>IF(C21&gt;=SUM(LCR!D143:D145),"Pass","Fail")</f>
        <v>Pass</v>
      </c>
      <c r="D23" s="39"/>
      <c r="E23" s="39"/>
      <c r="F23" s="39"/>
      <c r="G23" s="39"/>
      <c r="H23" s="407"/>
      <c r="I23" s="39"/>
      <c r="J23" s="39"/>
      <c r="K23" s="407"/>
      <c r="L23" s="39"/>
      <c r="M23" s="39"/>
      <c r="N23" s="39"/>
      <c r="O23" s="30"/>
      <c r="P23" s="29"/>
    </row>
    <row r="24" spans="1:17" s="334" customFormat="1" ht="15" customHeight="1" x14ac:dyDescent="0.2">
      <c r="A24" s="335"/>
      <c r="B24" s="436" t="str">
        <f>CONCATENATE("Check: row ", ROW(B21), " ≤ row ", ROW(B20), " for each column")</f>
        <v>Check: row 21 ≤ row 20 for each column</v>
      </c>
      <c r="C24" s="495" t="str">
        <f>IF(SUM(C21&lt;=C20),"Pass","Fail")</f>
        <v>Pass</v>
      </c>
      <c r="D24" s="495" t="str">
        <f>IF(SUM(D21&lt;=D20),"Pass","Fail")</f>
        <v>Pass</v>
      </c>
      <c r="E24" s="495" t="str">
        <f>IF(SUM(E21&lt;=E20),"Pass","Fail")</f>
        <v>Pass</v>
      </c>
      <c r="F24" s="495" t="str">
        <f>IF(SUM(F21&lt;=F20),"Pass","Fail")</f>
        <v>Pass</v>
      </c>
      <c r="G24" s="495" t="str">
        <f>IF(SUM(G21&lt;=G20),"Pass","Fail")</f>
        <v>Pass</v>
      </c>
      <c r="H24" s="344"/>
      <c r="I24" s="345"/>
      <c r="J24" s="345"/>
      <c r="K24" s="344"/>
      <c r="L24" s="345"/>
      <c r="M24" s="345"/>
      <c r="N24" s="345"/>
      <c r="O24" s="460"/>
      <c r="P24" s="355"/>
    </row>
    <row r="25" spans="1:17" s="334" customFormat="1" ht="30" customHeight="1" x14ac:dyDescent="0.2">
      <c r="A25" s="335"/>
      <c r="B25" s="348" t="s">
        <v>491</v>
      </c>
      <c r="C25" s="343"/>
      <c r="D25" s="343"/>
      <c r="E25" s="343"/>
      <c r="F25" s="343"/>
      <c r="G25" s="343"/>
      <c r="H25" s="344"/>
      <c r="I25" s="347">
        <v>0</v>
      </c>
      <c r="J25" s="347">
        <v>1</v>
      </c>
      <c r="K25" s="344"/>
      <c r="L25" s="341" t="str">
        <f>IF(AND(ISNUMBER(C25),ISNUMBER(D25),ISNUMBER(E25),ISNUMBER(F25),ISNUMBER(I25)),SUM(C25:F25)*I25,"")</f>
        <v/>
      </c>
      <c r="M25" s="341" t="str">
        <f>IF(AND(ISNUMBER(G25),ISNUMBER(J25)),SUM(G25)*J25,"")</f>
        <v/>
      </c>
      <c r="N25" s="341" t="str">
        <f>IF(AND(ISNUMBER(L25),ISNUMBER(M25)),SUM(L25:M25),"")</f>
        <v/>
      </c>
      <c r="O25" s="460"/>
      <c r="P25" s="355"/>
    </row>
    <row r="26" spans="1:17" s="334" customFormat="1" ht="15" customHeight="1" x14ac:dyDescent="0.2">
      <c r="A26" s="335"/>
      <c r="B26" s="259" t="s">
        <v>170</v>
      </c>
      <c r="C26" s="343"/>
      <c r="D26" s="343"/>
      <c r="E26" s="343"/>
      <c r="F26" s="343"/>
      <c r="G26" s="343"/>
      <c r="H26" s="344"/>
      <c r="I26" s="345"/>
      <c r="J26" s="345"/>
      <c r="K26" s="344"/>
      <c r="L26" s="345"/>
      <c r="M26" s="345"/>
      <c r="N26" s="345"/>
      <c r="O26" s="460"/>
      <c r="P26" s="355"/>
    </row>
    <row r="27" spans="1:17" s="28" customFormat="1" ht="15" customHeight="1" x14ac:dyDescent="0.2">
      <c r="A27" s="484"/>
      <c r="B27" s="436" t="str">
        <f>CONCATENATE("Check: row ", ROW(B25), " ≥ LCR unsecured funding from other legal entities")</f>
        <v>Check: row 25 ≥ LCR unsecured funding from other legal entities</v>
      </c>
      <c r="C27" s="495" t="str">
        <f>IF(C25&gt;=SUM(LCR!D147:D149,LCR!D151:D153,LCR!D162:D163),"Pass","Fail")</f>
        <v>Pass</v>
      </c>
      <c r="D27" s="39"/>
      <c r="E27" s="39"/>
      <c r="F27" s="39"/>
      <c r="G27" s="39"/>
      <c r="H27" s="407"/>
      <c r="I27" s="39"/>
      <c r="J27" s="39"/>
      <c r="K27" s="407"/>
      <c r="L27" s="39"/>
      <c r="M27" s="39"/>
      <c r="N27" s="39"/>
      <c r="O27" s="30"/>
      <c r="P27" s="29"/>
    </row>
    <row r="28" spans="1:17" s="28" customFormat="1" ht="15" customHeight="1" x14ac:dyDescent="0.2">
      <c r="A28" s="484"/>
      <c r="B28" s="436" t="str">
        <f>CONCATENATE("Check: row ", ROW(B26), " ≥ LCR operational deposits from other legal entities")</f>
        <v>Check: row 26 ≥ LCR operational deposits from other legal entities</v>
      </c>
      <c r="C28" s="495" t="str">
        <f>IF(C26&gt;=SUM(LCR!D147:D149,LCR!D151:D153),"Pass","Fail")</f>
        <v>Pass</v>
      </c>
      <c r="D28" s="39"/>
      <c r="E28" s="39"/>
      <c r="F28" s="39"/>
      <c r="G28" s="39"/>
      <c r="H28" s="407"/>
      <c r="I28" s="39"/>
      <c r="J28" s="39"/>
      <c r="K28" s="407"/>
      <c r="L28" s="39"/>
      <c r="M28" s="39"/>
      <c r="N28" s="39"/>
      <c r="O28" s="30"/>
      <c r="P28" s="29"/>
    </row>
    <row r="29" spans="1:17" s="334" customFormat="1" ht="15" customHeight="1" x14ac:dyDescent="0.2">
      <c r="A29" s="335"/>
      <c r="B29" s="436" t="str">
        <f>CONCATENATE("Check: row ", ROW(B26), " ≤ row ", ROW(B25), " for each column")</f>
        <v>Check: row 26 ≤ row 25 for each column</v>
      </c>
      <c r="C29" s="495" t="str">
        <f>IF(SUM(C26&lt;=C25),"Pass","Fail")</f>
        <v>Pass</v>
      </c>
      <c r="D29" s="495" t="str">
        <f>IF(SUM(D26&lt;=D25),"Pass","Fail")</f>
        <v>Pass</v>
      </c>
      <c r="E29" s="495" t="str">
        <f>IF(SUM(E26&lt;=E25),"Pass","Fail")</f>
        <v>Pass</v>
      </c>
      <c r="F29" s="495" t="str">
        <f>IF(SUM(F26&lt;=F25),"Pass","Fail")</f>
        <v>Pass</v>
      </c>
      <c r="G29" s="495" t="str">
        <f>IF(SUM(G26&lt;=G25),"Pass","Fail")</f>
        <v>Pass</v>
      </c>
      <c r="H29" s="344"/>
      <c r="I29" s="345"/>
      <c r="J29" s="345"/>
      <c r="K29" s="344"/>
      <c r="L29" s="345"/>
      <c r="M29" s="345"/>
      <c r="N29" s="345"/>
      <c r="O29" s="460"/>
      <c r="P29" s="355"/>
    </row>
    <row r="30" spans="1:17" s="334" customFormat="1" ht="30" customHeight="1" x14ac:dyDescent="0.2">
      <c r="A30" s="335"/>
      <c r="B30" s="348" t="s">
        <v>415</v>
      </c>
      <c r="C30" s="343"/>
      <c r="D30" s="343"/>
      <c r="E30" s="343"/>
      <c r="F30" s="343"/>
      <c r="G30" s="343"/>
      <c r="H30" s="344"/>
      <c r="I30" s="345" t="s">
        <v>171</v>
      </c>
      <c r="J30" s="347">
        <v>1</v>
      </c>
      <c r="K30" s="344"/>
      <c r="L30" s="345"/>
      <c r="M30" s="341" t="str">
        <f>IF(AND(ISNUMBER(G30),ISNUMBER(J30)),SUM(G30)*J30,"")</f>
        <v/>
      </c>
      <c r="N30" s="341" t="str">
        <f>M30</f>
        <v/>
      </c>
      <c r="O30" s="460"/>
      <c r="P30" s="355"/>
    </row>
    <row r="31" spans="1:17" s="28" customFormat="1" ht="30" customHeight="1" x14ac:dyDescent="0.2">
      <c r="A31" s="484"/>
      <c r="B31" s="436" t="str">
        <f>CONCATENATE("Check: row ", ROW(B30), " ≥ LCR unsecured funding from members of the institutional networks of cooperative banks")</f>
        <v>Check: row 30 ≥ LCR unsecured funding from members of the institutional networks of cooperative banks</v>
      </c>
      <c r="C31" s="495" t="str">
        <f>IF(C30&gt;=SUM(LCR!D161),"Pass","Fail")</f>
        <v>Pass</v>
      </c>
      <c r="D31" s="39"/>
      <c r="E31" s="39"/>
      <c r="F31" s="39"/>
      <c r="G31" s="39"/>
      <c r="H31" s="407"/>
      <c r="I31" s="39"/>
      <c r="J31" s="39"/>
      <c r="K31" s="407"/>
      <c r="L31" s="39"/>
      <c r="M31" s="39"/>
      <c r="N31" s="39"/>
      <c r="O31" s="30"/>
      <c r="P31" s="29"/>
    </row>
    <row r="32" spans="1:17" s="334" customFormat="1" ht="15" customHeight="1" x14ac:dyDescent="0.2">
      <c r="A32" s="335"/>
      <c r="B32" s="719" t="s">
        <v>1053</v>
      </c>
      <c r="C32" s="343"/>
      <c r="D32" s="343"/>
      <c r="E32" s="343"/>
      <c r="F32" s="343"/>
      <c r="G32" s="343"/>
      <c r="H32" s="344"/>
      <c r="I32" s="408">
        <v>0.5</v>
      </c>
      <c r="J32" s="408">
        <v>1</v>
      </c>
      <c r="K32" s="344"/>
      <c r="L32" s="194" t="str">
        <f>IF(AND(ISNUMBER(C32),ISNUMBER(D32),ISNUMBER(E32),ISNUMBER(F32),ISNUMBER(I32)),SUM(C32:F32)*I32,"")</f>
        <v/>
      </c>
      <c r="M32" s="194" t="str">
        <f>IF(AND(ISNUMBER(G32),ISNUMBER(J32)),SUM(G32)*J32,"")</f>
        <v/>
      </c>
      <c r="N32" s="194" t="str">
        <f>IF(AND(ISNUMBER(L32),ISNUMBER(M32)),SUM(L32:M32),"")</f>
        <v/>
      </c>
      <c r="O32" s="460"/>
      <c r="P32" s="355"/>
      <c r="Q32" s="732"/>
    </row>
    <row r="33" spans="1:21" s="334" customFormat="1" ht="30" customHeight="1" x14ac:dyDescent="0.2">
      <c r="A33" s="335"/>
      <c r="B33" s="719" t="s">
        <v>1028</v>
      </c>
      <c r="C33" s="721"/>
      <c r="D33" s="721"/>
      <c r="E33" s="721"/>
      <c r="F33" s="721"/>
      <c r="G33" s="721"/>
      <c r="H33" s="344"/>
      <c r="I33" s="722"/>
      <c r="J33" s="722"/>
      <c r="K33" s="344"/>
      <c r="L33" s="723"/>
      <c r="M33" s="723"/>
      <c r="N33" s="723"/>
      <c r="O33" s="460"/>
      <c r="P33" s="355"/>
      <c r="Q33" s="732"/>
    </row>
    <row r="34" spans="1:21" s="334" customFormat="1" ht="15" customHeight="1" x14ac:dyDescent="0.2">
      <c r="A34" s="335"/>
      <c r="B34" s="720" t="s">
        <v>1029</v>
      </c>
      <c r="C34" s="343"/>
      <c r="D34" s="343"/>
      <c r="E34" s="343"/>
      <c r="F34" s="343"/>
      <c r="G34" s="343"/>
      <c r="H34" s="344"/>
      <c r="I34" s="408">
        <v>0</v>
      </c>
      <c r="J34" s="408">
        <v>1</v>
      </c>
      <c r="K34" s="344"/>
      <c r="L34" s="341" t="str">
        <f t="shared" ref="L34:L38" si="0">IF(AND(ISNUMBER(C34),ISNUMBER(D34),ISNUMBER(E34),ISNUMBER(F34),ISNUMBER(I34)),SUM(C34:F34)*I34,"")</f>
        <v/>
      </c>
      <c r="M34" s="341" t="str">
        <f t="shared" ref="M34:M38" si="1">IF(AND(ISNUMBER(G34),ISNUMBER(J34)),SUM(G34)*J34,"")</f>
        <v/>
      </c>
      <c r="N34" s="341" t="str">
        <f t="shared" ref="N34:N38" si="2">IF(AND(ISNUMBER(L34),ISNUMBER(M34)),SUM(L34:M34),"")</f>
        <v/>
      </c>
      <c r="O34" s="460"/>
      <c r="P34" s="355"/>
      <c r="Q34" s="732"/>
    </row>
    <row r="35" spans="1:21" s="334" customFormat="1" ht="15" customHeight="1" x14ac:dyDescent="0.2">
      <c r="A35" s="335"/>
      <c r="B35" s="720" t="s">
        <v>45</v>
      </c>
      <c r="C35" s="343"/>
      <c r="D35" s="343"/>
      <c r="E35" s="343"/>
      <c r="F35" s="343"/>
      <c r="G35" s="343"/>
      <c r="H35" s="344"/>
      <c r="I35" s="408">
        <v>0</v>
      </c>
      <c r="J35" s="408">
        <v>1</v>
      </c>
      <c r="K35" s="344"/>
      <c r="L35" s="341" t="str">
        <f t="shared" si="0"/>
        <v/>
      </c>
      <c r="M35" s="341" t="str">
        <f t="shared" si="1"/>
        <v/>
      </c>
      <c r="N35" s="341" t="str">
        <f t="shared" si="2"/>
        <v/>
      </c>
      <c r="O35" s="460"/>
      <c r="P35" s="355"/>
      <c r="Q35" s="732"/>
    </row>
    <row r="36" spans="1:21" s="334" customFormat="1" ht="15" customHeight="1" x14ac:dyDescent="0.2">
      <c r="A36" s="335"/>
      <c r="B36" s="720" t="s">
        <v>494</v>
      </c>
      <c r="C36" s="343"/>
      <c r="D36" s="343"/>
      <c r="E36" s="343"/>
      <c r="F36" s="343"/>
      <c r="G36" s="343"/>
      <c r="H36" s="344"/>
      <c r="I36" s="408">
        <v>0.5</v>
      </c>
      <c r="J36" s="408">
        <v>1</v>
      </c>
      <c r="K36" s="344"/>
      <c r="L36" s="341" t="str">
        <f t="shared" si="0"/>
        <v/>
      </c>
      <c r="M36" s="341" t="str">
        <f t="shared" si="1"/>
        <v/>
      </c>
      <c r="N36" s="341" t="str">
        <f t="shared" si="2"/>
        <v/>
      </c>
      <c r="O36" s="460"/>
      <c r="P36" s="355"/>
      <c r="Q36" s="732"/>
    </row>
    <row r="37" spans="1:21" s="334" customFormat="1" ht="15" customHeight="1" x14ac:dyDescent="0.2">
      <c r="A37" s="335"/>
      <c r="B37" s="720" t="s">
        <v>1030</v>
      </c>
      <c r="C37" s="343"/>
      <c r="D37" s="343"/>
      <c r="E37" s="343"/>
      <c r="F37" s="343"/>
      <c r="G37" s="343"/>
      <c r="H37" s="344"/>
      <c r="I37" s="408">
        <v>0.5</v>
      </c>
      <c r="J37" s="408">
        <v>1</v>
      </c>
      <c r="K37" s="344"/>
      <c r="L37" s="341" t="str">
        <f t="shared" si="0"/>
        <v/>
      </c>
      <c r="M37" s="341" t="str">
        <f t="shared" si="1"/>
        <v/>
      </c>
      <c r="N37" s="341" t="str">
        <f t="shared" si="2"/>
        <v/>
      </c>
      <c r="O37" s="460"/>
      <c r="P37" s="355"/>
      <c r="Q37" s="732"/>
    </row>
    <row r="38" spans="1:21" s="334" customFormat="1" ht="15" customHeight="1" x14ac:dyDescent="0.2">
      <c r="A38" s="335"/>
      <c r="B38" s="720" t="s">
        <v>1031</v>
      </c>
      <c r="C38" s="343"/>
      <c r="D38" s="343"/>
      <c r="E38" s="343"/>
      <c r="F38" s="343"/>
      <c r="G38" s="343"/>
      <c r="H38" s="344"/>
      <c r="I38" s="408">
        <v>0</v>
      </c>
      <c r="J38" s="408">
        <v>1</v>
      </c>
      <c r="K38" s="344"/>
      <c r="L38" s="341" t="str">
        <f t="shared" si="0"/>
        <v/>
      </c>
      <c r="M38" s="341" t="str">
        <f t="shared" si="1"/>
        <v/>
      </c>
      <c r="N38" s="341" t="str">
        <f t="shared" si="2"/>
        <v/>
      </c>
      <c r="O38" s="460"/>
      <c r="P38" s="355"/>
      <c r="Q38" s="732"/>
    </row>
    <row r="39" spans="1:21" ht="15" customHeight="1" x14ac:dyDescent="0.2">
      <c r="A39" s="337"/>
      <c r="B39" s="349" t="s">
        <v>172</v>
      </c>
      <c r="C39" s="338"/>
      <c r="D39" s="338"/>
      <c r="E39" s="338"/>
      <c r="F39" s="338"/>
      <c r="G39" s="339"/>
      <c r="H39" s="74"/>
      <c r="I39" s="350"/>
      <c r="J39" s="340">
        <v>0</v>
      </c>
      <c r="K39" s="74"/>
      <c r="L39" s="350"/>
      <c r="M39" s="341" t="str">
        <f>IF(AND(ISNUMBER(G39),ISNUMBER(G185),ISNUMBER(J39)),MAX((G39-G185),0)*J39,"")</f>
        <v/>
      </c>
      <c r="N39" s="341" t="str">
        <f>IF(ISNUMBER(M39),SUM(M39),"")</f>
        <v/>
      </c>
      <c r="O39" s="462"/>
      <c r="P39" s="355"/>
    </row>
    <row r="40" spans="1:21" ht="15" customHeight="1" x14ac:dyDescent="0.2">
      <c r="A40" s="337"/>
      <c r="B40" s="349" t="s">
        <v>173</v>
      </c>
      <c r="C40" s="343"/>
      <c r="D40" s="343"/>
      <c r="E40" s="343"/>
      <c r="F40" s="343"/>
      <c r="G40" s="339"/>
      <c r="H40" s="74"/>
      <c r="I40" s="340">
        <v>0</v>
      </c>
      <c r="J40" s="340">
        <v>0</v>
      </c>
      <c r="K40" s="74"/>
      <c r="L40" s="341" t="str">
        <f>IF(AND(ISNUMBER(C40),ISNUMBER(D40),ISNUMBER(E40),ISNUMBER(F40),ISNUMBER(I40)),SUM(C40:F40)*I40,"")</f>
        <v/>
      </c>
      <c r="M40" s="341" t="str">
        <f>IF(AND(ISNUMBER(G40),ISNUMBER(J40)),SUM(G40)*J40,"")</f>
        <v/>
      </c>
      <c r="N40" s="341" t="str">
        <f>IF(AND(ISNUMBER(L40),ISNUMBER(M40)),SUM(L40:M40),"")</f>
        <v/>
      </c>
      <c r="O40" s="462"/>
      <c r="P40" s="355"/>
      <c r="Q40" s="732"/>
    </row>
    <row r="41" spans="1:21" ht="15" customHeight="1" x14ac:dyDescent="0.2">
      <c r="A41" s="337"/>
      <c r="B41" s="74"/>
      <c r="C41" s="74"/>
      <c r="D41" s="74"/>
      <c r="E41" s="74"/>
      <c r="F41" s="74"/>
      <c r="G41" s="74"/>
      <c r="H41" s="74"/>
      <c r="I41" s="74"/>
      <c r="J41" s="74"/>
      <c r="K41" s="74"/>
      <c r="L41" s="351" t="s">
        <v>174</v>
      </c>
      <c r="M41" s="352"/>
      <c r="N41" s="353" t="str">
        <f>IF(AND(ISNUMBER(N6),ISNUMBER(N8),ISNUMBER(N9),ISNUMBER(N11),ISNUMBER(N13),ISNUMBER(N15),ISNUMBER(N20),ISNUMBER(N25),ISNUMBER(N30),ISNUMBER(N32),ISNUMBER(N34),ISNUMBER(N35),ISNUMBER(N36),ISNUMBER(N37),ISNUMBER(N38),ISNUMBER(N39),ISNUMBER(N40)),SUM(N6:N15,N20,N25,N30,N32,N34:N38,N39:N40,L216:L221,L225:L229,L231),"")</f>
        <v/>
      </c>
      <c r="O41" s="462"/>
      <c r="P41" s="355"/>
      <c r="Q41" s="732"/>
    </row>
    <row r="42" spans="1:21" ht="15" customHeight="1" x14ac:dyDescent="0.2">
      <c r="A42" s="354"/>
      <c r="B42" s="355"/>
      <c r="C42" s="355"/>
      <c r="D42" s="355"/>
      <c r="E42" s="355"/>
      <c r="F42" s="355"/>
      <c r="G42" s="355"/>
      <c r="H42" s="355"/>
      <c r="I42" s="355"/>
      <c r="J42" s="355"/>
      <c r="K42" s="355"/>
      <c r="L42" s="355"/>
      <c r="M42" s="355"/>
      <c r="N42" s="355"/>
      <c r="O42" s="462"/>
      <c r="P42" s="355"/>
    </row>
    <row r="43" spans="1:21" s="331" customFormat="1" ht="30" customHeight="1" x14ac:dyDescent="0.25">
      <c r="A43" s="52" t="s">
        <v>766</v>
      </c>
      <c r="B43" s="73"/>
      <c r="C43" s="73"/>
      <c r="D43" s="73"/>
      <c r="E43" s="73"/>
      <c r="F43" s="73"/>
      <c r="G43" s="73"/>
      <c r="H43" s="73"/>
      <c r="I43" s="73"/>
      <c r="J43" s="329"/>
      <c r="K43" s="329"/>
      <c r="L43" s="329"/>
      <c r="M43" s="329"/>
      <c r="N43" s="329"/>
      <c r="O43" s="330"/>
      <c r="P43" s="355"/>
    </row>
    <row r="44" spans="1:21" s="336" customFormat="1" ht="30" customHeight="1" x14ac:dyDescent="0.25">
      <c r="A44" s="44" t="s">
        <v>489</v>
      </c>
      <c r="B44" s="81"/>
      <c r="C44" s="82"/>
      <c r="D44" s="82"/>
      <c r="E44" s="356"/>
      <c r="F44" s="74"/>
      <c r="G44" s="74"/>
      <c r="H44" s="74"/>
      <c r="I44" s="74"/>
      <c r="J44" s="74"/>
      <c r="K44" s="74"/>
      <c r="L44" s="74"/>
      <c r="M44" s="74"/>
      <c r="N44" s="74"/>
      <c r="O44" s="461"/>
      <c r="P44" s="355"/>
      <c r="Q44" s="74"/>
      <c r="R44" s="74"/>
      <c r="S44" s="74"/>
      <c r="T44" s="74"/>
      <c r="U44" s="74"/>
    </row>
    <row r="45" spans="1:21" ht="15" customHeight="1" x14ac:dyDescent="0.2">
      <c r="A45" s="354"/>
      <c r="B45" s="355"/>
      <c r="C45" s="355"/>
      <c r="D45" s="355"/>
      <c r="E45" s="355"/>
      <c r="F45" s="355"/>
      <c r="G45" s="355"/>
      <c r="H45" s="355"/>
      <c r="I45" s="355"/>
      <c r="J45" s="355"/>
      <c r="K45" s="355"/>
      <c r="L45" s="355"/>
      <c r="M45" s="355"/>
      <c r="N45" s="355"/>
      <c r="O45" s="462"/>
      <c r="P45" s="355"/>
    </row>
    <row r="46" spans="1:21" ht="15" customHeight="1" x14ac:dyDescent="0.2">
      <c r="A46" s="337"/>
      <c r="B46" s="856"/>
      <c r="C46" s="851" t="s">
        <v>643</v>
      </c>
      <c r="D46" s="851"/>
      <c r="E46" s="851"/>
      <c r="F46" s="851"/>
      <c r="G46" s="851"/>
      <c r="H46" s="74"/>
      <c r="I46" s="848" t="s">
        <v>724</v>
      </c>
      <c r="J46" s="848" t="s">
        <v>725</v>
      </c>
      <c r="K46" s="74"/>
      <c r="L46" s="848" t="s">
        <v>726</v>
      </c>
      <c r="M46" s="848" t="s">
        <v>727</v>
      </c>
      <c r="N46" s="848" t="s">
        <v>728</v>
      </c>
      <c r="O46" s="462"/>
      <c r="P46" s="355"/>
    </row>
    <row r="47" spans="1:21" ht="30" customHeight="1" x14ac:dyDescent="0.2">
      <c r="A47" s="337"/>
      <c r="B47" s="856"/>
      <c r="C47" s="260" t="s">
        <v>155</v>
      </c>
      <c r="D47" s="260" t="s">
        <v>729</v>
      </c>
      <c r="E47" s="260" t="s">
        <v>730</v>
      </c>
      <c r="F47" s="260" t="s">
        <v>731</v>
      </c>
      <c r="G47" s="260" t="s">
        <v>732</v>
      </c>
      <c r="H47" s="74"/>
      <c r="I47" s="849"/>
      <c r="J47" s="849"/>
      <c r="K47" s="74"/>
      <c r="L47" s="849"/>
      <c r="M47" s="849"/>
      <c r="N47" s="849"/>
      <c r="O47" s="462"/>
      <c r="P47" s="355"/>
    </row>
    <row r="48" spans="1:21" ht="15" customHeight="1" x14ac:dyDescent="0.2">
      <c r="A48" s="337"/>
      <c r="B48" s="502" t="s">
        <v>816</v>
      </c>
      <c r="C48" s="339"/>
      <c r="D48" s="338"/>
      <c r="E48" s="338"/>
      <c r="F48" s="338"/>
      <c r="G48" s="338"/>
      <c r="H48" s="74"/>
      <c r="I48" s="340">
        <v>0</v>
      </c>
      <c r="J48" s="261"/>
      <c r="K48" s="74"/>
      <c r="L48" s="341" t="str">
        <f>IF(AND(ISNUMBER(C48),ISNUMBER(I48)),SUM(C48)*I48,"")</f>
        <v/>
      </c>
      <c r="M48" s="248"/>
      <c r="N48" s="341" t="str">
        <f>L48</f>
        <v/>
      </c>
      <c r="O48" s="462"/>
      <c r="P48" s="355">
        <f t="shared" ref="P48:P112" si="3">IF(ISNUMBER(N48),1,0)</f>
        <v>0</v>
      </c>
      <c r="Q48" s="732"/>
    </row>
    <row r="49" spans="1:17" s="336" customFormat="1" ht="30" customHeight="1" x14ac:dyDescent="0.2">
      <c r="A49" s="337"/>
      <c r="B49" s="357" t="s">
        <v>733</v>
      </c>
      <c r="C49" s="593"/>
      <c r="D49" s="594"/>
      <c r="E49" s="594"/>
      <c r="F49" s="594"/>
      <c r="G49" s="592"/>
      <c r="H49" s="74"/>
      <c r="I49" s="603"/>
      <c r="J49" s="578"/>
      <c r="K49" s="74"/>
      <c r="L49" s="595"/>
      <c r="M49" s="596"/>
      <c r="N49" s="597"/>
      <c r="O49" s="461"/>
      <c r="P49" s="355">
        <f t="shared" si="3"/>
        <v>0</v>
      </c>
    </row>
    <row r="50" spans="1:17" ht="15" customHeight="1" x14ac:dyDescent="0.2">
      <c r="A50" s="337"/>
      <c r="B50" s="251" t="s">
        <v>734</v>
      </c>
      <c r="C50" s="343"/>
      <c r="D50" s="343"/>
      <c r="E50" s="343"/>
      <c r="F50" s="343"/>
      <c r="G50" s="338"/>
      <c r="H50" s="344"/>
      <c r="I50" s="347">
        <v>0</v>
      </c>
      <c r="J50" s="261"/>
      <c r="K50" s="74"/>
      <c r="L50" s="358" t="str">
        <f>IF(AND(ISNUMBER(C50),ISNUMBER(D50),ISNUMBER(E50),ISNUMBER(F50),ISNUMBER(I50)),SUM(C50:F50)*I50,"")</f>
        <v/>
      </c>
      <c r="M50" s="248"/>
      <c r="N50" s="341" t="str">
        <f>L50</f>
        <v/>
      </c>
      <c r="O50" s="462"/>
      <c r="P50" s="355">
        <f t="shared" si="3"/>
        <v>0</v>
      </c>
    </row>
    <row r="51" spans="1:17" ht="15" customHeight="1" x14ac:dyDescent="0.2">
      <c r="A51" s="337"/>
      <c r="B51" s="251" t="s">
        <v>735</v>
      </c>
      <c r="C51" s="343"/>
      <c r="D51" s="343"/>
      <c r="E51" s="343"/>
      <c r="F51" s="343"/>
      <c r="G51" s="338"/>
      <c r="H51" s="344"/>
      <c r="I51" s="261"/>
      <c r="J51" s="261"/>
      <c r="K51" s="74"/>
      <c r="L51" s="248"/>
      <c r="M51" s="248"/>
      <c r="N51" s="248"/>
      <c r="O51" s="462"/>
      <c r="P51" s="355">
        <f t="shared" si="3"/>
        <v>0</v>
      </c>
    </row>
    <row r="52" spans="1:17" ht="15" customHeight="1" x14ac:dyDescent="0.2">
      <c r="A52" s="337"/>
      <c r="B52" s="359" t="s">
        <v>264</v>
      </c>
      <c r="C52" s="343"/>
      <c r="D52" s="343"/>
      <c r="E52" s="343"/>
      <c r="F52" s="343"/>
      <c r="G52" s="338"/>
      <c r="H52" s="74"/>
      <c r="I52" s="340">
        <v>0</v>
      </c>
      <c r="J52" s="261"/>
      <c r="K52" s="74"/>
      <c r="L52" s="358" t="str">
        <f t="shared" ref="L52:L102" si="4">IF(AND(ISNUMBER(C52),ISNUMBER(D52),ISNUMBER(E52),ISNUMBER(F52),ISNUMBER(I52)),SUM(C52:F52)*I52,"")</f>
        <v/>
      </c>
      <c r="M52" s="248"/>
      <c r="N52" s="341" t="str">
        <f>L52</f>
        <v/>
      </c>
      <c r="O52" s="462"/>
      <c r="P52" s="355">
        <f t="shared" si="3"/>
        <v>0</v>
      </c>
    </row>
    <row r="53" spans="1:17" s="336" customFormat="1" ht="15" customHeight="1" x14ac:dyDescent="0.2">
      <c r="A53" s="337"/>
      <c r="B53" s="359" t="s">
        <v>265</v>
      </c>
      <c r="C53" s="343"/>
      <c r="D53" s="343"/>
      <c r="E53" s="343"/>
      <c r="F53" s="343"/>
      <c r="G53" s="338"/>
      <c r="H53" s="74"/>
      <c r="I53" s="340">
        <v>0</v>
      </c>
      <c r="J53" s="261"/>
      <c r="K53" s="74"/>
      <c r="L53" s="358" t="str">
        <f t="shared" si="4"/>
        <v/>
      </c>
      <c r="M53" s="248"/>
      <c r="N53" s="341" t="str">
        <f>L53</f>
        <v/>
      </c>
      <c r="O53" s="461"/>
      <c r="P53" s="355">
        <f t="shared" si="3"/>
        <v>0</v>
      </c>
    </row>
    <row r="54" spans="1:17" ht="15" customHeight="1" x14ac:dyDescent="0.2">
      <c r="A54" s="337"/>
      <c r="B54" s="359" t="s">
        <v>736</v>
      </c>
      <c r="C54" s="343"/>
      <c r="D54" s="343"/>
      <c r="E54" s="343"/>
      <c r="F54" s="343"/>
      <c r="G54" s="338"/>
      <c r="H54" s="74"/>
      <c r="I54" s="340">
        <v>0</v>
      </c>
      <c r="J54" s="261"/>
      <c r="K54" s="74"/>
      <c r="L54" s="358" t="str">
        <f t="shared" si="4"/>
        <v/>
      </c>
      <c r="M54" s="248"/>
      <c r="N54" s="341" t="str">
        <f>L54</f>
        <v/>
      </c>
      <c r="O54" s="462"/>
      <c r="P54" s="355">
        <f t="shared" si="3"/>
        <v>0</v>
      </c>
    </row>
    <row r="55" spans="1:17" ht="15" customHeight="1" x14ac:dyDescent="0.2">
      <c r="A55" s="337"/>
      <c r="B55" s="359" t="s">
        <v>263</v>
      </c>
      <c r="C55" s="343"/>
      <c r="D55" s="343"/>
      <c r="E55" s="343"/>
      <c r="F55" s="343"/>
      <c r="G55" s="338"/>
      <c r="H55" s="74"/>
      <c r="I55" s="340">
        <v>0</v>
      </c>
      <c r="J55" s="261"/>
      <c r="K55" s="74"/>
      <c r="L55" s="358" t="str">
        <f t="shared" si="4"/>
        <v/>
      </c>
      <c r="M55" s="248"/>
      <c r="N55" s="341" t="str">
        <f>L55</f>
        <v/>
      </c>
      <c r="O55" s="462"/>
      <c r="P55" s="355">
        <f t="shared" si="3"/>
        <v>0</v>
      </c>
    </row>
    <row r="56" spans="1:17" ht="15" customHeight="1" x14ac:dyDescent="0.2">
      <c r="A56" s="337"/>
      <c r="B56" s="359" t="s">
        <v>262</v>
      </c>
      <c r="C56" s="343"/>
      <c r="D56" s="343"/>
      <c r="E56" s="343"/>
      <c r="F56" s="343"/>
      <c r="G56" s="338"/>
      <c r="H56" s="74"/>
      <c r="I56" s="340">
        <v>1</v>
      </c>
      <c r="J56" s="261"/>
      <c r="K56" s="74"/>
      <c r="L56" s="358" t="str">
        <f t="shared" si="4"/>
        <v/>
      </c>
      <c r="M56" s="248"/>
      <c r="N56" s="341" t="str">
        <f>L56</f>
        <v/>
      </c>
      <c r="O56" s="462"/>
      <c r="P56" s="355">
        <f t="shared" si="3"/>
        <v>0</v>
      </c>
    </row>
    <row r="57" spans="1:17" ht="30" customHeight="1" x14ac:dyDescent="0.2">
      <c r="A57" s="337"/>
      <c r="B57" s="380" t="str">
        <f>CONCATENATE("Check: sum of rows ", ROW(B52), " to ", ROW(B56), " for each column should equal the corresponding column in row ", ROW(B51))</f>
        <v>Check: sum of rows 52 to 56 for each column should equal the corresponding column in row 51</v>
      </c>
      <c r="C57" s="495" t="str">
        <f>IF(SUM(C52:C56)=C51,"Pass","Fail")</f>
        <v>Pass</v>
      </c>
      <c r="D57" s="495" t="str">
        <f>IF(SUM(D52:D56)=D51,"Pass","Fail")</f>
        <v>Pass</v>
      </c>
      <c r="E57" s="495" t="str">
        <f>IF(SUM(E52:E56)=E51,"Pass","Fail")</f>
        <v>Pass</v>
      </c>
      <c r="F57" s="495" t="str">
        <f>IF(SUM(F52:F56)=F51,"Pass","Fail")</f>
        <v>Pass</v>
      </c>
      <c r="G57" s="338"/>
      <c r="H57" s="74"/>
      <c r="I57" s="600"/>
      <c r="J57" s="601"/>
      <c r="K57" s="74"/>
      <c r="L57" s="598"/>
      <c r="M57" s="724"/>
      <c r="N57" s="599"/>
      <c r="O57" s="462"/>
      <c r="P57" s="355">
        <f t="shared" si="3"/>
        <v>0</v>
      </c>
    </row>
    <row r="58" spans="1:17" ht="30" customHeight="1" x14ac:dyDescent="0.2">
      <c r="A58" s="337"/>
      <c r="B58" s="380" t="str">
        <f>CONCATENATE("Check: sum of rows ", ROW(B50), " to ", ROW(B51), " in the &lt; 3 month column is greater than or equal to total central bank reserves reported in row ", ROW(LCR!B7), " on the LCR worksheet")</f>
        <v>Check: sum of rows 50 to 51 in the &lt; 3 month column is greater than or equal to total central bank reserves reported in row 7 on the LCR worksheet</v>
      </c>
      <c r="C58" s="495" t="str">
        <f>IF(SUM(C50:C51)&gt;=LCR!D7,"Pass","Fail")</f>
        <v>Pass</v>
      </c>
      <c r="D58" s="593"/>
      <c r="E58" s="594"/>
      <c r="F58" s="594"/>
      <c r="G58" s="592"/>
      <c r="H58" s="74"/>
      <c r="I58" s="600"/>
      <c r="J58" s="601"/>
      <c r="K58" s="74"/>
      <c r="L58" s="598"/>
      <c r="M58" s="724"/>
      <c r="N58" s="599"/>
      <c r="O58" s="462"/>
      <c r="P58" s="355">
        <f t="shared" si="3"/>
        <v>0</v>
      </c>
      <c r="Q58" s="732"/>
    </row>
    <row r="59" spans="1:17" ht="45" customHeight="1" x14ac:dyDescent="0.2">
      <c r="A59" s="337"/>
      <c r="B59" s="502" t="s">
        <v>737</v>
      </c>
      <c r="C59" s="593"/>
      <c r="D59" s="725"/>
      <c r="E59" s="725"/>
      <c r="F59" s="725"/>
      <c r="G59" s="726"/>
      <c r="H59" s="74"/>
      <c r="I59" s="589"/>
      <c r="J59" s="591"/>
      <c r="K59" s="74"/>
      <c r="L59" s="727"/>
      <c r="M59" s="728"/>
      <c r="N59" s="729"/>
      <c r="O59" s="462"/>
      <c r="P59" s="355">
        <f t="shared" si="3"/>
        <v>0</v>
      </c>
    </row>
    <row r="60" spans="1:17" ht="15" customHeight="1" x14ac:dyDescent="0.2">
      <c r="A60" s="337"/>
      <c r="B60" s="251" t="s">
        <v>734</v>
      </c>
      <c r="C60" s="343"/>
      <c r="D60" s="343"/>
      <c r="E60" s="343"/>
      <c r="F60" s="343"/>
      <c r="G60" s="338"/>
      <c r="H60" s="344"/>
      <c r="I60" s="347">
        <v>0</v>
      </c>
      <c r="J60" s="261"/>
      <c r="K60" s="74"/>
      <c r="L60" s="358" t="str">
        <f t="shared" si="4"/>
        <v/>
      </c>
      <c r="M60" s="248"/>
      <c r="N60" s="341" t="str">
        <f>L60</f>
        <v/>
      </c>
      <c r="O60" s="462"/>
      <c r="P60" s="355">
        <f t="shared" si="3"/>
        <v>0</v>
      </c>
    </row>
    <row r="61" spans="1:17" ht="15" customHeight="1" x14ac:dyDescent="0.2">
      <c r="A61" s="337"/>
      <c r="B61" s="251" t="s">
        <v>735</v>
      </c>
      <c r="C61" s="343"/>
      <c r="D61" s="343"/>
      <c r="E61" s="343"/>
      <c r="F61" s="343"/>
      <c r="G61" s="338"/>
      <c r="H61" s="344"/>
      <c r="I61" s="261"/>
      <c r="J61" s="261"/>
      <c r="K61" s="74"/>
      <c r="L61" s="248"/>
      <c r="M61" s="248"/>
      <c r="N61" s="248"/>
      <c r="O61" s="462"/>
      <c r="P61" s="355">
        <f t="shared" si="3"/>
        <v>0</v>
      </c>
    </row>
    <row r="62" spans="1:17" ht="15" customHeight="1" x14ac:dyDescent="0.2">
      <c r="A62" s="337"/>
      <c r="B62" s="359" t="s">
        <v>264</v>
      </c>
      <c r="C62" s="343"/>
      <c r="D62" s="343"/>
      <c r="E62" s="343"/>
      <c r="F62" s="343"/>
      <c r="G62" s="338"/>
      <c r="H62" s="74"/>
      <c r="I62" s="340">
        <v>0</v>
      </c>
      <c r="J62" s="261"/>
      <c r="K62" s="74"/>
      <c r="L62" s="358" t="str">
        <f t="shared" si="4"/>
        <v/>
      </c>
      <c r="M62" s="248"/>
      <c r="N62" s="341" t="str">
        <f t="shared" ref="N62:N84" si="5">L62</f>
        <v/>
      </c>
      <c r="O62" s="462"/>
      <c r="P62" s="355">
        <f t="shared" si="3"/>
        <v>0</v>
      </c>
    </row>
    <row r="63" spans="1:17" ht="15" customHeight="1" x14ac:dyDescent="0.2">
      <c r="A63" s="337"/>
      <c r="B63" s="359" t="s">
        <v>265</v>
      </c>
      <c r="C63" s="343"/>
      <c r="D63" s="343"/>
      <c r="E63" s="343"/>
      <c r="F63" s="343"/>
      <c r="G63" s="338"/>
      <c r="H63" s="74"/>
      <c r="I63" s="340">
        <v>0</v>
      </c>
      <c r="J63" s="261"/>
      <c r="K63" s="74"/>
      <c r="L63" s="358" t="str">
        <f t="shared" si="4"/>
        <v/>
      </c>
      <c r="M63" s="248"/>
      <c r="N63" s="341" t="str">
        <f t="shared" si="5"/>
        <v/>
      </c>
      <c r="O63" s="462"/>
      <c r="P63" s="355">
        <f t="shared" si="3"/>
        <v>0</v>
      </c>
    </row>
    <row r="64" spans="1:17" s="336" customFormat="1" ht="15" customHeight="1" x14ac:dyDescent="0.2">
      <c r="A64" s="337"/>
      <c r="B64" s="359" t="s">
        <v>736</v>
      </c>
      <c r="C64" s="343"/>
      <c r="D64" s="343"/>
      <c r="E64" s="343"/>
      <c r="F64" s="343"/>
      <c r="G64" s="338"/>
      <c r="H64" s="74"/>
      <c r="I64" s="340">
        <v>0</v>
      </c>
      <c r="J64" s="261"/>
      <c r="K64" s="74"/>
      <c r="L64" s="358" t="str">
        <f t="shared" si="4"/>
        <v/>
      </c>
      <c r="M64" s="248"/>
      <c r="N64" s="341" t="str">
        <f t="shared" si="5"/>
        <v/>
      </c>
      <c r="O64" s="461"/>
      <c r="P64" s="355">
        <f t="shared" si="3"/>
        <v>0</v>
      </c>
    </row>
    <row r="65" spans="1:16" ht="15" customHeight="1" x14ac:dyDescent="0.2">
      <c r="A65" s="337"/>
      <c r="B65" s="359" t="s">
        <v>263</v>
      </c>
      <c r="C65" s="343"/>
      <c r="D65" s="343"/>
      <c r="E65" s="343"/>
      <c r="F65" s="343"/>
      <c r="G65" s="338"/>
      <c r="H65" s="74"/>
      <c r="I65" s="340">
        <v>0</v>
      </c>
      <c r="J65" s="261"/>
      <c r="K65" s="74"/>
      <c r="L65" s="358" t="str">
        <f t="shared" si="4"/>
        <v/>
      </c>
      <c r="M65" s="248"/>
      <c r="N65" s="341" t="str">
        <f t="shared" si="5"/>
        <v/>
      </c>
      <c r="O65" s="462"/>
      <c r="P65" s="355">
        <f t="shared" si="3"/>
        <v>0</v>
      </c>
    </row>
    <row r="66" spans="1:16" ht="15" customHeight="1" x14ac:dyDescent="0.2">
      <c r="A66" s="337"/>
      <c r="B66" s="359" t="s">
        <v>262</v>
      </c>
      <c r="C66" s="343"/>
      <c r="D66" s="343"/>
      <c r="E66" s="343"/>
      <c r="F66" s="343"/>
      <c r="G66" s="338"/>
      <c r="H66" s="74"/>
      <c r="I66" s="340">
        <v>1</v>
      </c>
      <c r="J66" s="261"/>
      <c r="K66" s="74"/>
      <c r="L66" s="358" t="str">
        <f t="shared" si="4"/>
        <v/>
      </c>
      <c r="M66" s="248"/>
      <c r="N66" s="341" t="str">
        <f t="shared" si="5"/>
        <v/>
      </c>
      <c r="O66" s="462"/>
      <c r="P66" s="355">
        <f t="shared" si="3"/>
        <v>0</v>
      </c>
    </row>
    <row r="67" spans="1:16" ht="30" customHeight="1" x14ac:dyDescent="0.2">
      <c r="A67" s="337"/>
      <c r="B67" s="380" t="str">
        <f>CONCATENATE("Check: sum of rows ", ROW(B62), " to ", ROW(B66), " for each column should equal the corresponding column in row ", ROW(B61))</f>
        <v>Check: sum of rows 62 to 66 for each column should equal the corresponding column in row 61</v>
      </c>
      <c r="C67" s="495" t="str">
        <f>IF(SUM(C62:C66)=C61,"Pass","Fail")</f>
        <v>Pass</v>
      </c>
      <c r="D67" s="495" t="str">
        <f>IF(SUM(D62:D66)=D61,"Pass","Fail")</f>
        <v>Pass</v>
      </c>
      <c r="E67" s="495" t="str">
        <f>IF(SUM(E62:E66)=E61,"Pass","Fail")</f>
        <v>Pass</v>
      </c>
      <c r="F67" s="495" t="str">
        <f>IF(SUM(F62:F66)=F61,"Pass","Fail")</f>
        <v>Pass</v>
      </c>
      <c r="G67" s="338"/>
      <c r="H67" s="74"/>
      <c r="I67" s="350"/>
      <c r="J67" s="350"/>
      <c r="K67" s="74"/>
      <c r="L67" s="360"/>
      <c r="M67" s="360"/>
      <c r="N67" s="248"/>
      <c r="O67" s="462"/>
      <c r="P67" s="355">
        <f t="shared" si="3"/>
        <v>0</v>
      </c>
    </row>
    <row r="68" spans="1:16" s="331" customFormat="1" ht="60" customHeight="1" x14ac:dyDescent="0.2">
      <c r="A68" s="337"/>
      <c r="B68" s="409" t="s">
        <v>533</v>
      </c>
      <c r="C68" s="593"/>
      <c r="D68" s="594"/>
      <c r="E68" s="594"/>
      <c r="F68" s="594"/>
      <c r="G68" s="592"/>
      <c r="H68" s="74"/>
      <c r="I68" s="603"/>
      <c r="J68" s="578"/>
      <c r="K68" s="74"/>
      <c r="L68" s="598"/>
      <c r="M68" s="596"/>
      <c r="N68" s="597"/>
      <c r="O68" s="361"/>
      <c r="P68" s="355">
        <f t="shared" si="3"/>
        <v>0</v>
      </c>
    </row>
    <row r="69" spans="1:16" s="336" customFormat="1" ht="15" customHeight="1" x14ac:dyDescent="0.2">
      <c r="A69" s="337"/>
      <c r="B69" s="251" t="s">
        <v>734</v>
      </c>
      <c r="C69" s="343"/>
      <c r="D69" s="343"/>
      <c r="E69" s="343"/>
      <c r="F69" s="343"/>
      <c r="G69" s="343"/>
      <c r="H69" s="344"/>
      <c r="I69" s="347">
        <v>0</v>
      </c>
      <c r="J69" s="408">
        <v>0</v>
      </c>
      <c r="K69" s="74"/>
      <c r="L69" s="358" t="str">
        <f t="shared" si="4"/>
        <v/>
      </c>
      <c r="M69" s="362" t="str">
        <f>IF(AND(ISNUMBER(G69),ISNUMBER(J69)),G69*J69,"")</f>
        <v/>
      </c>
      <c r="N69" s="341" t="str">
        <f>IF(AND(ISNUMBER(L69),ISNUMBER(M69)),SUM(L69:M69),"")</f>
        <v/>
      </c>
      <c r="O69" s="461"/>
      <c r="P69" s="355">
        <f t="shared" si="3"/>
        <v>0</v>
      </c>
    </row>
    <row r="70" spans="1:16" s="336" customFormat="1" ht="15" customHeight="1" x14ac:dyDescent="0.2">
      <c r="A70" s="337"/>
      <c r="B70" s="251" t="s">
        <v>735</v>
      </c>
      <c r="C70" s="343"/>
      <c r="D70" s="343"/>
      <c r="E70" s="343"/>
      <c r="F70" s="343"/>
      <c r="G70" s="343"/>
      <c r="H70" s="344"/>
      <c r="I70" s="261"/>
      <c r="J70" s="261"/>
      <c r="K70" s="74"/>
      <c r="L70" s="248"/>
      <c r="M70" s="248"/>
      <c r="N70" s="248"/>
      <c r="O70" s="461"/>
      <c r="P70" s="355">
        <f t="shared" si="3"/>
        <v>0</v>
      </c>
    </row>
    <row r="71" spans="1:16" ht="15" customHeight="1" x14ac:dyDescent="0.2">
      <c r="A71" s="337"/>
      <c r="B71" s="359" t="s">
        <v>264</v>
      </c>
      <c r="C71" s="343"/>
      <c r="D71" s="343"/>
      <c r="E71" s="343"/>
      <c r="F71" s="343"/>
      <c r="G71" s="343"/>
      <c r="H71" s="74"/>
      <c r="I71" s="340">
        <v>0</v>
      </c>
      <c r="J71" s="408">
        <v>0</v>
      </c>
      <c r="K71" s="74"/>
      <c r="L71" s="358" t="str">
        <f t="shared" si="4"/>
        <v/>
      </c>
      <c r="M71" s="362" t="str">
        <f>IF(AND(ISNUMBER(G71),ISNUMBER(J71)),G71*J71,"")</f>
        <v/>
      </c>
      <c r="N71" s="341" t="str">
        <f>IF(AND(ISNUMBER(L71),ISNUMBER(M71)),SUM(L71:M71),"")</f>
        <v/>
      </c>
      <c r="O71" s="462"/>
      <c r="P71" s="355">
        <f t="shared" si="3"/>
        <v>0</v>
      </c>
    </row>
    <row r="72" spans="1:16" ht="15" customHeight="1" x14ac:dyDescent="0.2">
      <c r="A72" s="337"/>
      <c r="B72" s="359" t="s">
        <v>265</v>
      </c>
      <c r="C72" s="343"/>
      <c r="D72" s="343"/>
      <c r="E72" s="343"/>
      <c r="F72" s="343"/>
      <c r="G72" s="343"/>
      <c r="H72" s="74"/>
      <c r="I72" s="340">
        <v>0</v>
      </c>
      <c r="J72" s="408">
        <v>0</v>
      </c>
      <c r="K72" s="74"/>
      <c r="L72" s="358" t="str">
        <f t="shared" si="4"/>
        <v/>
      </c>
      <c r="M72" s="362" t="str">
        <f>IF(AND(ISNUMBER(G72),ISNUMBER(J72)),G72*J72,"")</f>
        <v/>
      </c>
      <c r="N72" s="341" t="str">
        <f>IF(AND(ISNUMBER(L72),ISNUMBER(M72)),SUM(L72:M72),"")</f>
        <v/>
      </c>
      <c r="O72" s="462"/>
      <c r="P72" s="355">
        <f t="shared" si="3"/>
        <v>0</v>
      </c>
    </row>
    <row r="73" spans="1:16" ht="15" customHeight="1" x14ac:dyDescent="0.2">
      <c r="A73" s="337"/>
      <c r="B73" s="359" t="s">
        <v>736</v>
      </c>
      <c r="C73" s="343"/>
      <c r="D73" s="343"/>
      <c r="E73" s="343"/>
      <c r="F73" s="343"/>
      <c r="G73" s="343"/>
      <c r="H73" s="74"/>
      <c r="I73" s="340">
        <v>0</v>
      </c>
      <c r="J73" s="408">
        <v>0</v>
      </c>
      <c r="K73" s="74"/>
      <c r="L73" s="358" t="str">
        <f t="shared" si="4"/>
        <v/>
      </c>
      <c r="M73" s="362" t="str">
        <f>IF(AND(ISNUMBER(G73),ISNUMBER(J73)),G73*J73,"")</f>
        <v/>
      </c>
      <c r="N73" s="341" t="str">
        <f>IF(AND(ISNUMBER(L73),ISNUMBER(M73)),SUM(L73:M73),"")</f>
        <v/>
      </c>
      <c r="O73" s="462"/>
      <c r="P73" s="355">
        <f t="shared" si="3"/>
        <v>0</v>
      </c>
    </row>
    <row r="74" spans="1:16" ht="15" customHeight="1" x14ac:dyDescent="0.2">
      <c r="A74" s="337"/>
      <c r="B74" s="359" t="s">
        <v>263</v>
      </c>
      <c r="C74" s="343"/>
      <c r="D74" s="343"/>
      <c r="E74" s="343"/>
      <c r="F74" s="343"/>
      <c r="G74" s="343"/>
      <c r="H74" s="74"/>
      <c r="I74" s="340">
        <v>0</v>
      </c>
      <c r="J74" s="408">
        <v>0</v>
      </c>
      <c r="K74" s="74"/>
      <c r="L74" s="358" t="str">
        <f t="shared" si="4"/>
        <v/>
      </c>
      <c r="M74" s="362" t="str">
        <f>IF(AND(ISNUMBER(G74),ISNUMBER(J74)),G74*J74,"")</f>
        <v/>
      </c>
      <c r="N74" s="341" t="str">
        <f>IF(AND(ISNUMBER(L74),ISNUMBER(M74)),SUM(L74:M74),"")</f>
        <v/>
      </c>
      <c r="O74" s="462"/>
      <c r="P74" s="355">
        <f t="shared" si="3"/>
        <v>0</v>
      </c>
    </row>
    <row r="75" spans="1:16" ht="15" customHeight="1" x14ac:dyDescent="0.2">
      <c r="A75" s="337"/>
      <c r="B75" s="359" t="s">
        <v>262</v>
      </c>
      <c r="C75" s="343"/>
      <c r="D75" s="343"/>
      <c r="E75" s="343"/>
      <c r="F75" s="343"/>
      <c r="G75" s="343"/>
      <c r="H75" s="74"/>
      <c r="I75" s="340">
        <v>1</v>
      </c>
      <c r="J75" s="408">
        <v>1</v>
      </c>
      <c r="K75" s="74"/>
      <c r="L75" s="358" t="str">
        <f t="shared" si="4"/>
        <v/>
      </c>
      <c r="M75" s="362" t="str">
        <f>IF(AND(ISNUMBER(G75),ISNUMBER(J75)),G75*J75,"")</f>
        <v/>
      </c>
      <c r="N75" s="341" t="str">
        <f>IF(AND(ISNUMBER(L75),ISNUMBER(M75)),SUM(L75:M75),"")</f>
        <v/>
      </c>
      <c r="O75" s="462"/>
      <c r="P75" s="355">
        <f t="shared" si="3"/>
        <v>0</v>
      </c>
    </row>
    <row r="76" spans="1:16" ht="30" customHeight="1" x14ac:dyDescent="0.2">
      <c r="A76" s="337"/>
      <c r="B76" s="380" t="str">
        <f>CONCATENATE("Check: sum of rows ", ROW(B71), " to ", ROW(B75), " for each column should equal the corresponding column in row ", ROW(B70))</f>
        <v>Check: sum of rows 71 to 75 for each column should equal the corresponding column in row 70</v>
      </c>
      <c r="C76" s="495" t="str">
        <f>IF(SUM(C71:C75)=C70,"Pass","Fail")</f>
        <v>Pass</v>
      </c>
      <c r="D76" s="495" t="str">
        <f>IF(SUM(D71:D75)=D70,"Pass","Fail")</f>
        <v>Pass</v>
      </c>
      <c r="E76" s="495" t="str">
        <f>IF(SUM(E71:E75)=E70,"Pass","Fail")</f>
        <v>Pass</v>
      </c>
      <c r="F76" s="495" t="str">
        <f>IF(SUM(F71:F75)=F70,"Pass","Fail")</f>
        <v>Pass</v>
      </c>
      <c r="G76" s="495" t="str">
        <f>IF(SUM(G71:G75)=G70,"Pass","Fail")</f>
        <v>Pass</v>
      </c>
      <c r="H76" s="74"/>
      <c r="I76" s="350"/>
      <c r="J76" s="350"/>
      <c r="K76" s="74"/>
      <c r="L76" s="360"/>
      <c r="M76" s="360"/>
      <c r="N76" s="248"/>
      <c r="O76" s="462"/>
      <c r="P76" s="355">
        <f t="shared" si="3"/>
        <v>0</v>
      </c>
    </row>
    <row r="77" spans="1:16" ht="30" customHeight="1" x14ac:dyDescent="0.2">
      <c r="A77" s="337"/>
      <c r="B77" s="357" t="s">
        <v>354</v>
      </c>
      <c r="C77" s="593"/>
      <c r="D77" s="594"/>
      <c r="E77" s="594"/>
      <c r="F77" s="594"/>
      <c r="G77" s="592"/>
      <c r="H77" s="74"/>
      <c r="I77" s="603"/>
      <c r="J77" s="578"/>
      <c r="K77" s="74"/>
      <c r="L77" s="598"/>
      <c r="M77" s="596"/>
      <c r="N77" s="597"/>
      <c r="O77" s="462"/>
      <c r="P77" s="355">
        <f t="shared" si="3"/>
        <v>0</v>
      </c>
    </row>
    <row r="78" spans="1:16" ht="15" customHeight="1" x14ac:dyDescent="0.2">
      <c r="A78" s="337"/>
      <c r="B78" s="251" t="s">
        <v>734</v>
      </c>
      <c r="C78" s="343"/>
      <c r="D78" s="343"/>
      <c r="E78" s="343"/>
      <c r="F78" s="343"/>
      <c r="G78" s="338"/>
      <c r="H78" s="344"/>
      <c r="I78" s="347">
        <v>0</v>
      </c>
      <c r="J78" s="261"/>
      <c r="K78" s="74"/>
      <c r="L78" s="358" t="str">
        <f t="shared" si="4"/>
        <v/>
      </c>
      <c r="M78" s="248"/>
      <c r="N78" s="341" t="str">
        <f t="shared" si="5"/>
        <v/>
      </c>
      <c r="O78" s="462"/>
      <c r="P78" s="355">
        <f t="shared" si="3"/>
        <v>0</v>
      </c>
    </row>
    <row r="79" spans="1:16" ht="15" customHeight="1" x14ac:dyDescent="0.2">
      <c r="A79" s="337"/>
      <c r="B79" s="251" t="s">
        <v>735</v>
      </c>
      <c r="C79" s="343"/>
      <c r="D79" s="343"/>
      <c r="E79" s="343"/>
      <c r="F79" s="343"/>
      <c r="G79" s="338"/>
      <c r="H79" s="344"/>
      <c r="I79" s="261"/>
      <c r="J79" s="261"/>
      <c r="K79" s="74"/>
      <c r="L79" s="248"/>
      <c r="M79" s="248"/>
      <c r="N79" s="248"/>
      <c r="O79" s="462"/>
      <c r="P79" s="355">
        <f t="shared" si="3"/>
        <v>0</v>
      </c>
    </row>
    <row r="80" spans="1:16" ht="15" customHeight="1" x14ac:dyDescent="0.2">
      <c r="A80" s="337"/>
      <c r="B80" s="359" t="s">
        <v>264</v>
      </c>
      <c r="C80" s="343"/>
      <c r="D80" s="343"/>
      <c r="E80" s="343"/>
      <c r="F80" s="343"/>
      <c r="G80" s="338"/>
      <c r="H80" s="74"/>
      <c r="I80" s="340">
        <v>0</v>
      </c>
      <c r="J80" s="261"/>
      <c r="K80" s="74"/>
      <c r="L80" s="358" t="str">
        <f t="shared" si="4"/>
        <v/>
      </c>
      <c r="M80" s="248"/>
      <c r="N80" s="341" t="str">
        <f t="shared" si="5"/>
        <v/>
      </c>
      <c r="O80" s="462"/>
      <c r="P80" s="355">
        <f t="shared" si="3"/>
        <v>0</v>
      </c>
    </row>
    <row r="81" spans="1:16" ht="15" customHeight="1" x14ac:dyDescent="0.2">
      <c r="A81" s="337"/>
      <c r="B81" s="359" t="s">
        <v>265</v>
      </c>
      <c r="C81" s="343"/>
      <c r="D81" s="343"/>
      <c r="E81" s="343"/>
      <c r="F81" s="343"/>
      <c r="G81" s="338"/>
      <c r="H81" s="74"/>
      <c r="I81" s="340">
        <v>0</v>
      </c>
      <c r="J81" s="261"/>
      <c r="K81" s="74"/>
      <c r="L81" s="358" t="str">
        <f t="shared" si="4"/>
        <v/>
      </c>
      <c r="M81" s="248"/>
      <c r="N81" s="341" t="str">
        <f t="shared" si="5"/>
        <v/>
      </c>
      <c r="O81" s="462"/>
      <c r="P81" s="355">
        <f t="shared" si="3"/>
        <v>0</v>
      </c>
    </row>
    <row r="82" spans="1:16" ht="15" customHeight="1" x14ac:dyDescent="0.2">
      <c r="A82" s="337"/>
      <c r="B82" s="359" t="s">
        <v>736</v>
      </c>
      <c r="C82" s="343"/>
      <c r="D82" s="343"/>
      <c r="E82" s="343"/>
      <c r="F82" s="343"/>
      <c r="G82" s="338"/>
      <c r="H82" s="74"/>
      <c r="I82" s="340">
        <v>0</v>
      </c>
      <c r="J82" s="261"/>
      <c r="K82" s="74"/>
      <c r="L82" s="358" t="str">
        <f t="shared" si="4"/>
        <v/>
      </c>
      <c r="M82" s="248"/>
      <c r="N82" s="341" t="str">
        <f t="shared" si="5"/>
        <v/>
      </c>
      <c r="O82" s="462"/>
      <c r="P82" s="355">
        <f t="shared" si="3"/>
        <v>0</v>
      </c>
    </row>
    <row r="83" spans="1:16" ht="15" customHeight="1" x14ac:dyDescent="0.2">
      <c r="A83" s="337"/>
      <c r="B83" s="359" t="s">
        <v>263</v>
      </c>
      <c r="C83" s="343"/>
      <c r="D83" s="343"/>
      <c r="E83" s="343"/>
      <c r="F83" s="343"/>
      <c r="G83" s="338"/>
      <c r="H83" s="74"/>
      <c r="I83" s="340">
        <v>0</v>
      </c>
      <c r="J83" s="261"/>
      <c r="K83" s="74"/>
      <c r="L83" s="358" t="str">
        <f t="shared" si="4"/>
        <v/>
      </c>
      <c r="M83" s="248"/>
      <c r="N83" s="341" t="str">
        <f t="shared" si="5"/>
        <v/>
      </c>
      <c r="O83" s="462"/>
      <c r="P83" s="355">
        <f t="shared" si="3"/>
        <v>0</v>
      </c>
    </row>
    <row r="84" spans="1:16" ht="15" customHeight="1" x14ac:dyDescent="0.2">
      <c r="A84" s="337"/>
      <c r="B84" s="359" t="s">
        <v>262</v>
      </c>
      <c r="C84" s="343"/>
      <c r="D84" s="343"/>
      <c r="E84" s="343"/>
      <c r="F84" s="343"/>
      <c r="G84" s="338"/>
      <c r="H84" s="74"/>
      <c r="I84" s="340">
        <v>1</v>
      </c>
      <c r="J84" s="261"/>
      <c r="K84" s="74"/>
      <c r="L84" s="358" t="str">
        <f t="shared" si="4"/>
        <v/>
      </c>
      <c r="M84" s="248"/>
      <c r="N84" s="341" t="str">
        <f t="shared" si="5"/>
        <v/>
      </c>
      <c r="O84" s="462"/>
      <c r="P84" s="355">
        <f t="shared" si="3"/>
        <v>0</v>
      </c>
    </row>
    <row r="85" spans="1:16" ht="30" customHeight="1" x14ac:dyDescent="0.2">
      <c r="A85" s="337"/>
      <c r="B85" s="380" t="str">
        <f>CONCATENATE("Check: sum of rows ", ROW(B80), " to ", ROW(B84), " for each column should equal the corresponding column in row ", ROW(B79))</f>
        <v>Check: sum of rows 80 to 84 for each column should equal the corresponding column in row 79</v>
      </c>
      <c r="C85" s="495" t="str">
        <f>IF(SUM(C80:C84)=C79,"Pass","Fail")</f>
        <v>Pass</v>
      </c>
      <c r="D85" s="495" t="str">
        <f>IF(SUM(D80:D84)=D79,"Pass","Fail")</f>
        <v>Pass</v>
      </c>
      <c r="E85" s="495" t="str">
        <f>IF(SUM(E80:E84)=E79,"Pass","Fail")</f>
        <v>Pass</v>
      </c>
      <c r="F85" s="495" t="str">
        <f>IF(SUM(F80:F84)=F79,"Pass","Fail")</f>
        <v>Pass</v>
      </c>
      <c r="G85" s="338"/>
      <c r="H85" s="74"/>
      <c r="I85" s="350"/>
      <c r="J85" s="350"/>
      <c r="K85" s="74"/>
      <c r="L85" s="360"/>
      <c r="M85" s="360"/>
      <c r="N85" s="360"/>
      <c r="O85" s="462"/>
      <c r="P85" s="355">
        <f t="shared" si="3"/>
        <v>0</v>
      </c>
    </row>
    <row r="86" spans="1:16" s="336" customFormat="1" ht="15" customHeight="1" x14ac:dyDescent="0.2">
      <c r="A86" s="337"/>
      <c r="B86" s="357" t="s">
        <v>738</v>
      </c>
      <c r="C86" s="593"/>
      <c r="D86" s="594"/>
      <c r="E86" s="594"/>
      <c r="F86" s="594"/>
      <c r="G86" s="592"/>
      <c r="H86" s="74"/>
      <c r="I86" s="603"/>
      <c r="J86" s="578"/>
      <c r="K86" s="74"/>
      <c r="L86" s="598"/>
      <c r="M86" s="596"/>
      <c r="N86" s="599"/>
      <c r="O86" s="461"/>
      <c r="P86" s="355">
        <f t="shared" si="3"/>
        <v>0</v>
      </c>
    </row>
    <row r="87" spans="1:16" s="334" customFormat="1" ht="15" customHeight="1" x14ac:dyDescent="0.2">
      <c r="A87" s="337"/>
      <c r="B87" s="251" t="s">
        <v>734</v>
      </c>
      <c r="C87" s="343"/>
      <c r="D87" s="343"/>
      <c r="E87" s="343"/>
      <c r="F87" s="343"/>
      <c r="G87" s="343"/>
      <c r="H87" s="344"/>
      <c r="I87" s="347">
        <v>0</v>
      </c>
      <c r="J87" s="347">
        <v>0.05</v>
      </c>
      <c r="K87" s="344"/>
      <c r="L87" s="358" t="str">
        <f t="shared" si="4"/>
        <v/>
      </c>
      <c r="M87" s="362" t="str">
        <f>IF(AND(ISNUMBER(G87),ISNUMBER(J87)),G87*J87,"")</f>
        <v/>
      </c>
      <c r="N87" s="341" t="str">
        <f>IF(AND(ISNUMBER(L87),ISNUMBER(M87)),SUM(L87:M87),"")</f>
        <v/>
      </c>
      <c r="O87" s="460"/>
      <c r="P87" s="355">
        <f t="shared" si="3"/>
        <v>0</v>
      </c>
    </row>
    <row r="88" spans="1:16" ht="15" customHeight="1" x14ac:dyDescent="0.2">
      <c r="A88" s="335"/>
      <c r="B88" s="251" t="s">
        <v>735</v>
      </c>
      <c r="C88" s="343"/>
      <c r="D88" s="343"/>
      <c r="E88" s="343"/>
      <c r="F88" s="343"/>
      <c r="G88" s="343"/>
      <c r="H88" s="344"/>
      <c r="I88" s="261"/>
      <c r="J88" s="261"/>
      <c r="K88" s="74"/>
      <c r="L88" s="248"/>
      <c r="M88" s="248"/>
      <c r="N88" s="248"/>
      <c r="O88" s="462"/>
      <c r="P88" s="355">
        <f t="shared" si="3"/>
        <v>0</v>
      </c>
    </row>
    <row r="89" spans="1:16" ht="15" customHeight="1" x14ac:dyDescent="0.2">
      <c r="A89" s="337"/>
      <c r="B89" s="359" t="s">
        <v>264</v>
      </c>
      <c r="C89" s="343"/>
      <c r="D89" s="343"/>
      <c r="E89" s="343"/>
      <c r="F89" s="343"/>
      <c r="G89" s="343"/>
      <c r="H89" s="74"/>
      <c r="I89" s="340">
        <v>0</v>
      </c>
      <c r="J89" s="340">
        <v>0.05</v>
      </c>
      <c r="K89" s="74"/>
      <c r="L89" s="358" t="str">
        <f t="shared" si="4"/>
        <v/>
      </c>
      <c r="M89" s="362" t="str">
        <f>IF(AND(ISNUMBER(G89),ISNUMBER(J89)),G89*J89,"")</f>
        <v/>
      </c>
      <c r="N89" s="341" t="str">
        <f>IF(AND(ISNUMBER(L89),ISNUMBER(M89)),SUM(L89:M89),"")</f>
        <v/>
      </c>
      <c r="O89" s="462"/>
      <c r="P89" s="355">
        <f t="shared" si="3"/>
        <v>0</v>
      </c>
    </row>
    <row r="90" spans="1:16" ht="15" customHeight="1" x14ac:dyDescent="0.2">
      <c r="A90" s="337"/>
      <c r="B90" s="359" t="s">
        <v>265</v>
      </c>
      <c r="C90" s="343"/>
      <c r="D90" s="343"/>
      <c r="E90" s="343"/>
      <c r="F90" s="343"/>
      <c r="G90" s="343"/>
      <c r="H90" s="74"/>
      <c r="I90" s="340">
        <v>0</v>
      </c>
      <c r="J90" s="340">
        <v>0.05</v>
      </c>
      <c r="K90" s="74"/>
      <c r="L90" s="358" t="str">
        <f t="shared" si="4"/>
        <v/>
      </c>
      <c r="M90" s="362" t="str">
        <f t="shared" ref="M90:M153" si="6">IF(AND(ISNUMBER(G90),ISNUMBER(J90)),G90*J90,"")</f>
        <v/>
      </c>
      <c r="N90" s="341" t="str">
        <f>IF(AND(ISNUMBER(L90),ISNUMBER(M90)),SUM(L90:M90),"")</f>
        <v/>
      </c>
      <c r="O90" s="462"/>
      <c r="P90" s="355">
        <f t="shared" si="3"/>
        <v>0</v>
      </c>
    </row>
    <row r="91" spans="1:16" ht="15" customHeight="1" x14ac:dyDescent="0.2">
      <c r="A91" s="337"/>
      <c r="B91" s="359" t="s">
        <v>736</v>
      </c>
      <c r="C91" s="343"/>
      <c r="D91" s="343"/>
      <c r="E91" s="343"/>
      <c r="F91" s="343"/>
      <c r="G91" s="343"/>
      <c r="H91" s="74"/>
      <c r="I91" s="340">
        <v>0</v>
      </c>
      <c r="J91" s="340">
        <v>0.05</v>
      </c>
      <c r="K91" s="74"/>
      <c r="L91" s="358" t="str">
        <f t="shared" si="4"/>
        <v/>
      </c>
      <c r="M91" s="362" t="str">
        <f t="shared" si="6"/>
        <v/>
      </c>
      <c r="N91" s="341" t="str">
        <f>IF(AND(ISNUMBER(L91),ISNUMBER(M91)),SUM(L91:M91),"")</f>
        <v/>
      </c>
      <c r="O91" s="462"/>
      <c r="P91" s="355">
        <f t="shared" si="3"/>
        <v>0</v>
      </c>
    </row>
    <row r="92" spans="1:16" ht="15" customHeight="1" x14ac:dyDescent="0.2">
      <c r="A92" s="337"/>
      <c r="B92" s="359" t="s">
        <v>263</v>
      </c>
      <c r="C92" s="343"/>
      <c r="D92" s="343"/>
      <c r="E92" s="343"/>
      <c r="F92" s="343"/>
      <c r="G92" s="343"/>
      <c r="H92" s="74"/>
      <c r="I92" s="340">
        <v>0</v>
      </c>
      <c r="J92" s="340">
        <v>0.05</v>
      </c>
      <c r="K92" s="74"/>
      <c r="L92" s="358" t="str">
        <f t="shared" si="4"/>
        <v/>
      </c>
      <c r="M92" s="362" t="str">
        <f t="shared" si="6"/>
        <v/>
      </c>
      <c r="N92" s="341" t="str">
        <f>IF(AND(ISNUMBER(L92),ISNUMBER(M92)),SUM(L92:M92),"")</f>
        <v/>
      </c>
      <c r="O92" s="462"/>
      <c r="P92" s="355">
        <f t="shared" si="3"/>
        <v>0</v>
      </c>
    </row>
    <row r="93" spans="1:16" ht="15" customHeight="1" x14ac:dyDescent="0.2">
      <c r="A93" s="337"/>
      <c r="B93" s="359" t="s">
        <v>262</v>
      </c>
      <c r="C93" s="343"/>
      <c r="D93" s="343"/>
      <c r="E93" s="343"/>
      <c r="F93" s="343"/>
      <c r="G93" s="343"/>
      <c r="H93" s="74"/>
      <c r="I93" s="340">
        <v>1</v>
      </c>
      <c r="J93" s="340">
        <v>1</v>
      </c>
      <c r="K93" s="74"/>
      <c r="L93" s="358" t="str">
        <f t="shared" si="4"/>
        <v/>
      </c>
      <c r="M93" s="362" t="str">
        <f t="shared" si="6"/>
        <v/>
      </c>
      <c r="N93" s="341" t="str">
        <f>IF(AND(ISNUMBER(L93),ISNUMBER(M93)),SUM(L93:M93),"")</f>
        <v/>
      </c>
      <c r="O93" s="462"/>
      <c r="P93" s="355">
        <f t="shared" si="3"/>
        <v>0</v>
      </c>
    </row>
    <row r="94" spans="1:16" ht="30" customHeight="1" x14ac:dyDescent="0.2">
      <c r="A94" s="337"/>
      <c r="B94" s="380" t="str">
        <f>CONCATENATE("Check: sum of rows ", ROW(B89), " to ", ROW(B93), " for each column should equal the corresponding column in row ", ROW(B88))</f>
        <v>Check: sum of rows 89 to 93 for each column should equal the corresponding column in row 88</v>
      </c>
      <c r="C94" s="495" t="str">
        <f>IF(SUM(C89:C93)=C88,"Pass","Fail")</f>
        <v>Pass</v>
      </c>
      <c r="D94" s="495" t="str">
        <f>IF(SUM(D89:D93)=D88,"Pass","Fail")</f>
        <v>Pass</v>
      </c>
      <c r="E94" s="495" t="str">
        <f>IF(SUM(E89:E93)=E88,"Pass","Fail")</f>
        <v>Pass</v>
      </c>
      <c r="F94" s="495" t="str">
        <f>IF(SUM(F89:F93)=F88,"Pass","Fail")</f>
        <v>Pass</v>
      </c>
      <c r="G94" s="495" t="str">
        <f>IF(SUM(G89:G93)=G88,"Pass","Fail")</f>
        <v>Pass</v>
      </c>
      <c r="H94" s="74"/>
      <c r="I94" s="350"/>
      <c r="J94" s="350"/>
      <c r="K94" s="74"/>
      <c r="L94" s="248"/>
      <c r="M94" s="248"/>
      <c r="N94" s="248"/>
      <c r="O94" s="462"/>
      <c r="P94" s="355">
        <f t="shared" si="3"/>
        <v>0</v>
      </c>
    </row>
    <row r="95" spans="1:16" ht="15" customHeight="1" x14ac:dyDescent="0.2">
      <c r="A95" s="337"/>
      <c r="B95" s="502" t="s">
        <v>812</v>
      </c>
      <c r="C95" s="593"/>
      <c r="D95" s="594"/>
      <c r="E95" s="594"/>
      <c r="F95" s="594"/>
      <c r="G95" s="592"/>
      <c r="H95" s="74"/>
      <c r="I95" s="603"/>
      <c r="J95" s="578"/>
      <c r="K95" s="74"/>
      <c r="L95" s="595"/>
      <c r="M95" s="596"/>
      <c r="N95" s="597"/>
      <c r="O95" s="462"/>
      <c r="P95" s="355">
        <f t="shared" si="3"/>
        <v>0</v>
      </c>
    </row>
    <row r="96" spans="1:16" s="334" customFormat="1" ht="15" customHeight="1" x14ac:dyDescent="0.2">
      <c r="A96" s="337"/>
      <c r="B96" s="251" t="s">
        <v>734</v>
      </c>
      <c r="C96" s="343"/>
      <c r="D96" s="343"/>
      <c r="E96" s="343"/>
      <c r="F96" s="343"/>
      <c r="G96" s="343"/>
      <c r="H96" s="344"/>
      <c r="I96" s="347">
        <v>0</v>
      </c>
      <c r="J96" s="347">
        <v>0.2</v>
      </c>
      <c r="K96" s="344"/>
      <c r="L96" s="358" t="str">
        <f t="shared" si="4"/>
        <v/>
      </c>
      <c r="M96" s="362" t="str">
        <f t="shared" si="6"/>
        <v/>
      </c>
      <c r="N96" s="341" t="str">
        <f>IF(AND(ISNUMBER(L96),ISNUMBER(M96)),SUM(L96:M96),"")</f>
        <v/>
      </c>
      <c r="O96" s="460"/>
      <c r="P96" s="355">
        <f t="shared" si="3"/>
        <v>0</v>
      </c>
    </row>
    <row r="97" spans="1:16" ht="15" customHeight="1" x14ac:dyDescent="0.2">
      <c r="A97" s="335"/>
      <c r="B97" s="251" t="s">
        <v>735</v>
      </c>
      <c r="C97" s="343"/>
      <c r="D97" s="343"/>
      <c r="E97" s="343"/>
      <c r="F97" s="343"/>
      <c r="G97" s="343"/>
      <c r="H97" s="344"/>
      <c r="I97" s="261"/>
      <c r="J97" s="261"/>
      <c r="K97" s="74"/>
      <c r="L97" s="248"/>
      <c r="M97" s="248"/>
      <c r="N97" s="248"/>
      <c r="O97" s="462"/>
      <c r="P97" s="355">
        <f t="shared" si="3"/>
        <v>0</v>
      </c>
    </row>
    <row r="98" spans="1:16" ht="15" customHeight="1" x14ac:dyDescent="0.2">
      <c r="A98" s="337"/>
      <c r="B98" s="359" t="s">
        <v>264</v>
      </c>
      <c r="C98" s="343"/>
      <c r="D98" s="343"/>
      <c r="E98" s="343"/>
      <c r="F98" s="343"/>
      <c r="G98" s="343"/>
      <c r="H98" s="74"/>
      <c r="I98" s="340">
        <v>0</v>
      </c>
      <c r="J98" s="340">
        <v>0.2</v>
      </c>
      <c r="K98" s="74"/>
      <c r="L98" s="358" t="str">
        <f t="shared" si="4"/>
        <v/>
      </c>
      <c r="M98" s="362" t="str">
        <f t="shared" si="6"/>
        <v/>
      </c>
      <c r="N98" s="341" t="str">
        <f>IF(AND(ISNUMBER(L98),ISNUMBER(M98)),SUM(L98:M98),"")</f>
        <v/>
      </c>
      <c r="O98" s="462"/>
      <c r="P98" s="355">
        <f t="shared" si="3"/>
        <v>0</v>
      </c>
    </row>
    <row r="99" spans="1:16" ht="15" customHeight="1" x14ac:dyDescent="0.2">
      <c r="A99" s="337"/>
      <c r="B99" s="359" t="s">
        <v>265</v>
      </c>
      <c r="C99" s="343"/>
      <c r="D99" s="343"/>
      <c r="E99" s="343"/>
      <c r="F99" s="343"/>
      <c r="G99" s="343"/>
      <c r="H99" s="74"/>
      <c r="I99" s="340">
        <v>0</v>
      </c>
      <c r="J99" s="340">
        <v>0.2</v>
      </c>
      <c r="K99" s="74"/>
      <c r="L99" s="358" t="str">
        <f t="shared" si="4"/>
        <v/>
      </c>
      <c r="M99" s="362" t="str">
        <f t="shared" si="6"/>
        <v/>
      </c>
      <c r="N99" s="341" t="str">
        <f>IF(AND(ISNUMBER(L99),ISNUMBER(M99)),SUM(L99:M99),"")</f>
        <v/>
      </c>
      <c r="O99" s="462"/>
      <c r="P99" s="355">
        <f t="shared" si="3"/>
        <v>0</v>
      </c>
    </row>
    <row r="100" spans="1:16" ht="15" customHeight="1" x14ac:dyDescent="0.2">
      <c r="A100" s="337"/>
      <c r="B100" s="359" t="s">
        <v>736</v>
      </c>
      <c r="C100" s="343"/>
      <c r="D100" s="343"/>
      <c r="E100" s="343"/>
      <c r="F100" s="343"/>
      <c r="G100" s="343"/>
      <c r="H100" s="74"/>
      <c r="I100" s="340">
        <v>0</v>
      </c>
      <c r="J100" s="340">
        <v>0.2</v>
      </c>
      <c r="K100" s="74"/>
      <c r="L100" s="358" t="str">
        <f t="shared" si="4"/>
        <v/>
      </c>
      <c r="M100" s="362" t="str">
        <f t="shared" si="6"/>
        <v/>
      </c>
      <c r="N100" s="341" t="str">
        <f>IF(AND(ISNUMBER(L100),ISNUMBER(M100)),SUM(L100:M100),"")</f>
        <v/>
      </c>
      <c r="O100" s="462"/>
      <c r="P100" s="355">
        <f t="shared" si="3"/>
        <v>0</v>
      </c>
    </row>
    <row r="101" spans="1:16" ht="15" customHeight="1" x14ac:dyDescent="0.2">
      <c r="A101" s="337"/>
      <c r="B101" s="359" t="s">
        <v>263</v>
      </c>
      <c r="C101" s="343"/>
      <c r="D101" s="343"/>
      <c r="E101" s="343"/>
      <c r="F101" s="343"/>
      <c r="G101" s="343"/>
      <c r="H101" s="74"/>
      <c r="I101" s="340">
        <v>0</v>
      </c>
      <c r="J101" s="340">
        <v>0.2</v>
      </c>
      <c r="K101" s="74"/>
      <c r="L101" s="358" t="str">
        <f t="shared" si="4"/>
        <v/>
      </c>
      <c r="M101" s="362" t="str">
        <f t="shared" si="6"/>
        <v/>
      </c>
      <c r="N101" s="341" t="str">
        <f>IF(AND(ISNUMBER(L101),ISNUMBER(M101)),SUM(L101:M101),"")</f>
        <v/>
      </c>
      <c r="O101" s="462"/>
      <c r="P101" s="355">
        <f t="shared" si="3"/>
        <v>0</v>
      </c>
    </row>
    <row r="102" spans="1:16" ht="15" customHeight="1" x14ac:dyDescent="0.2">
      <c r="A102" s="337"/>
      <c r="B102" s="359" t="s">
        <v>262</v>
      </c>
      <c r="C102" s="343"/>
      <c r="D102" s="343"/>
      <c r="E102" s="343"/>
      <c r="F102" s="343"/>
      <c r="G102" s="343"/>
      <c r="H102" s="74"/>
      <c r="I102" s="340">
        <v>1</v>
      </c>
      <c r="J102" s="340">
        <v>1</v>
      </c>
      <c r="K102" s="74"/>
      <c r="L102" s="358" t="str">
        <f t="shared" si="4"/>
        <v/>
      </c>
      <c r="M102" s="362" t="str">
        <f t="shared" si="6"/>
        <v/>
      </c>
      <c r="N102" s="341" t="str">
        <f>IF(AND(ISNUMBER(L102),ISNUMBER(M102)),SUM(L102:M102),"")</f>
        <v/>
      </c>
      <c r="O102" s="462"/>
      <c r="P102" s="355">
        <f t="shared" si="3"/>
        <v>0</v>
      </c>
    </row>
    <row r="103" spans="1:16" ht="30" customHeight="1" x14ac:dyDescent="0.2">
      <c r="A103" s="337"/>
      <c r="B103" s="380" t="str">
        <f>CONCATENATE("Check: sum of rows ", ROW(B98), " to ", ROW(B102), " for each column should equal the corresponding column in row ", ROW(B97))</f>
        <v>Check: sum of rows 98 to 102 for each column should equal the corresponding column in row 97</v>
      </c>
      <c r="C103" s="495" t="str">
        <f>IF(SUM(C98:C102)=C97,"Pass","Fail")</f>
        <v>Pass</v>
      </c>
      <c r="D103" s="495" t="str">
        <f>IF(SUM(D98:D102)=D97,"Pass","Fail")</f>
        <v>Pass</v>
      </c>
      <c r="E103" s="495" t="str">
        <f>IF(SUM(E98:E102)=E97,"Pass","Fail")</f>
        <v>Pass</v>
      </c>
      <c r="F103" s="495" t="str">
        <f>IF(SUM(F98:F102)=F97,"Pass","Fail")</f>
        <v>Pass</v>
      </c>
      <c r="G103" s="495" t="str">
        <f>IF(SUM(G98:G102)=G97,"Pass","Fail")</f>
        <v>Pass</v>
      </c>
      <c r="H103" s="74"/>
      <c r="I103" s="600"/>
      <c r="J103" s="601"/>
      <c r="K103" s="74"/>
      <c r="L103" s="595"/>
      <c r="M103" s="596"/>
      <c r="N103" s="597"/>
      <c r="O103" s="462"/>
      <c r="P103" s="355">
        <f t="shared" si="3"/>
        <v>0</v>
      </c>
    </row>
    <row r="104" spans="1:16" ht="15" customHeight="1" x14ac:dyDescent="0.2">
      <c r="A104" s="337"/>
      <c r="B104" s="363" t="s">
        <v>739</v>
      </c>
      <c r="C104" s="593"/>
      <c r="D104" s="594"/>
      <c r="E104" s="594"/>
      <c r="F104" s="594"/>
      <c r="G104" s="592"/>
      <c r="H104" s="74"/>
      <c r="I104" s="603"/>
      <c r="J104" s="578"/>
      <c r="K104" s="74"/>
      <c r="L104" s="595"/>
      <c r="M104" s="596"/>
      <c r="N104" s="597"/>
      <c r="O104" s="462"/>
      <c r="P104" s="355">
        <f t="shared" si="3"/>
        <v>0</v>
      </c>
    </row>
    <row r="105" spans="1:16" ht="15" customHeight="1" x14ac:dyDescent="0.2">
      <c r="A105" s="337"/>
      <c r="B105" s="251" t="s">
        <v>734</v>
      </c>
      <c r="C105" s="338"/>
      <c r="D105" s="338"/>
      <c r="E105" s="338"/>
      <c r="F105" s="338"/>
      <c r="G105" s="343"/>
      <c r="H105" s="344"/>
      <c r="I105" s="261"/>
      <c r="J105" s="340">
        <v>0.5</v>
      </c>
      <c r="K105" s="74"/>
      <c r="L105" s="248"/>
      <c r="M105" s="362" t="str">
        <f t="shared" si="6"/>
        <v/>
      </c>
      <c r="N105" s="341" t="str">
        <f>M105</f>
        <v/>
      </c>
      <c r="O105" s="462"/>
      <c r="P105" s="355">
        <f t="shared" si="3"/>
        <v>0</v>
      </c>
    </row>
    <row r="106" spans="1:16" ht="15" customHeight="1" x14ac:dyDescent="0.2">
      <c r="A106" s="337"/>
      <c r="B106" s="251" t="s">
        <v>735</v>
      </c>
      <c r="C106" s="338"/>
      <c r="D106" s="338"/>
      <c r="E106" s="338"/>
      <c r="F106" s="338"/>
      <c r="G106" s="343"/>
      <c r="H106" s="344"/>
      <c r="I106" s="261"/>
      <c r="J106" s="261"/>
      <c r="K106" s="74"/>
      <c r="L106" s="248"/>
      <c r="M106" s="248"/>
      <c r="N106" s="248"/>
      <c r="O106" s="462"/>
      <c r="P106" s="355">
        <f t="shared" si="3"/>
        <v>0</v>
      </c>
    </row>
    <row r="107" spans="1:16" ht="15" customHeight="1" x14ac:dyDescent="0.2">
      <c r="A107" s="337"/>
      <c r="B107" s="359" t="s">
        <v>264</v>
      </c>
      <c r="C107" s="338"/>
      <c r="D107" s="338"/>
      <c r="E107" s="338"/>
      <c r="F107" s="338"/>
      <c r="G107" s="343"/>
      <c r="H107" s="74"/>
      <c r="I107" s="261"/>
      <c r="J107" s="340">
        <v>0.5</v>
      </c>
      <c r="K107" s="74"/>
      <c r="L107" s="248"/>
      <c r="M107" s="362" t="str">
        <f t="shared" si="6"/>
        <v/>
      </c>
      <c r="N107" s="341" t="str">
        <f t="shared" ref="N107:N120" si="7">M107</f>
        <v/>
      </c>
      <c r="O107" s="462"/>
      <c r="P107" s="355">
        <f t="shared" si="3"/>
        <v>0</v>
      </c>
    </row>
    <row r="108" spans="1:16" ht="15" customHeight="1" x14ac:dyDescent="0.2">
      <c r="A108" s="337"/>
      <c r="B108" s="359" t="s">
        <v>265</v>
      </c>
      <c r="C108" s="338"/>
      <c r="D108" s="338"/>
      <c r="E108" s="338"/>
      <c r="F108" s="338"/>
      <c r="G108" s="343"/>
      <c r="H108" s="74"/>
      <c r="I108" s="261"/>
      <c r="J108" s="340">
        <v>0.5</v>
      </c>
      <c r="K108" s="74"/>
      <c r="L108" s="248"/>
      <c r="M108" s="362" t="str">
        <f t="shared" si="6"/>
        <v/>
      </c>
      <c r="N108" s="341" t="str">
        <f t="shared" si="7"/>
        <v/>
      </c>
      <c r="O108" s="462"/>
      <c r="P108" s="355">
        <f t="shared" si="3"/>
        <v>0</v>
      </c>
    </row>
    <row r="109" spans="1:16" ht="15" customHeight="1" x14ac:dyDescent="0.2">
      <c r="A109" s="337"/>
      <c r="B109" s="359" t="s">
        <v>736</v>
      </c>
      <c r="C109" s="338"/>
      <c r="D109" s="338"/>
      <c r="E109" s="338"/>
      <c r="F109" s="338"/>
      <c r="G109" s="343"/>
      <c r="H109" s="74"/>
      <c r="I109" s="261"/>
      <c r="J109" s="340">
        <v>0.5</v>
      </c>
      <c r="K109" s="74"/>
      <c r="L109" s="248"/>
      <c r="M109" s="362" t="str">
        <f t="shared" si="6"/>
        <v/>
      </c>
      <c r="N109" s="341" t="str">
        <f t="shared" si="7"/>
        <v/>
      </c>
      <c r="O109" s="462"/>
      <c r="P109" s="355">
        <f t="shared" si="3"/>
        <v>0</v>
      </c>
    </row>
    <row r="110" spans="1:16" ht="15" customHeight="1" x14ac:dyDescent="0.2">
      <c r="A110" s="337"/>
      <c r="B110" s="359" t="s">
        <v>263</v>
      </c>
      <c r="C110" s="338"/>
      <c r="D110" s="338"/>
      <c r="E110" s="338"/>
      <c r="F110" s="338"/>
      <c r="G110" s="343"/>
      <c r="H110" s="74"/>
      <c r="I110" s="261"/>
      <c r="J110" s="340">
        <v>0.5</v>
      </c>
      <c r="K110" s="74"/>
      <c r="L110" s="248"/>
      <c r="M110" s="362" t="str">
        <f t="shared" si="6"/>
        <v/>
      </c>
      <c r="N110" s="341" t="str">
        <f t="shared" si="7"/>
        <v/>
      </c>
      <c r="O110" s="462"/>
      <c r="P110" s="355">
        <f t="shared" si="3"/>
        <v>0</v>
      </c>
    </row>
    <row r="111" spans="1:16" ht="15" customHeight="1" x14ac:dyDescent="0.2">
      <c r="A111" s="337"/>
      <c r="B111" s="359" t="s">
        <v>262</v>
      </c>
      <c r="C111" s="338"/>
      <c r="D111" s="338"/>
      <c r="E111" s="338"/>
      <c r="F111" s="338"/>
      <c r="G111" s="343"/>
      <c r="H111" s="74"/>
      <c r="I111" s="261"/>
      <c r="J111" s="340">
        <v>1</v>
      </c>
      <c r="K111" s="74"/>
      <c r="L111" s="248"/>
      <c r="M111" s="362" t="str">
        <f t="shared" si="6"/>
        <v/>
      </c>
      <c r="N111" s="341" t="str">
        <f t="shared" si="7"/>
        <v/>
      </c>
      <c r="O111" s="462"/>
      <c r="P111" s="355">
        <f t="shared" si="3"/>
        <v>0</v>
      </c>
    </row>
    <row r="112" spans="1:16" ht="30" customHeight="1" x14ac:dyDescent="0.2">
      <c r="A112" s="337"/>
      <c r="B112" s="380" t="str">
        <f>CONCATENATE("Check: sum of rows ", ROW(B107), " to ", ROW(B111), " for each column should equal the corresponding column in row ", ROW(B106))</f>
        <v>Check: sum of rows 107 to 111 for each column should equal the corresponding column in row 106</v>
      </c>
      <c r="C112" s="338"/>
      <c r="D112" s="338"/>
      <c r="E112" s="338"/>
      <c r="F112" s="338"/>
      <c r="G112" s="495" t="str">
        <f>IF(SUM(G107:G111)=G106,"Pass","Fail")</f>
        <v>Pass</v>
      </c>
      <c r="H112" s="74"/>
      <c r="I112" s="350"/>
      <c r="J112" s="350"/>
      <c r="K112" s="74"/>
      <c r="L112" s="248"/>
      <c r="M112" s="248"/>
      <c r="N112" s="248"/>
      <c r="O112" s="462"/>
      <c r="P112" s="355">
        <f t="shared" si="3"/>
        <v>0</v>
      </c>
    </row>
    <row r="113" spans="1:16" ht="15" customHeight="1" x14ac:dyDescent="0.2">
      <c r="A113" s="337"/>
      <c r="B113" s="357" t="s">
        <v>740</v>
      </c>
      <c r="C113" s="593"/>
      <c r="D113" s="594"/>
      <c r="E113" s="594"/>
      <c r="F113" s="594"/>
      <c r="G113" s="592"/>
      <c r="H113" s="74"/>
      <c r="I113" s="603"/>
      <c r="J113" s="578"/>
      <c r="K113" s="74"/>
      <c r="L113" s="595"/>
      <c r="M113" s="596"/>
      <c r="N113" s="597"/>
      <c r="O113" s="462"/>
      <c r="P113" s="355">
        <f t="shared" ref="P113:P176" si="8">IF(ISNUMBER(N113),1,0)</f>
        <v>0</v>
      </c>
    </row>
    <row r="114" spans="1:16" ht="15" customHeight="1" x14ac:dyDescent="0.2">
      <c r="A114" s="337"/>
      <c r="B114" s="251" t="s">
        <v>734</v>
      </c>
      <c r="C114" s="338"/>
      <c r="D114" s="338"/>
      <c r="E114" s="338"/>
      <c r="F114" s="338"/>
      <c r="G114" s="343"/>
      <c r="H114" s="344"/>
      <c r="I114" s="261"/>
      <c r="J114" s="340">
        <v>0.5</v>
      </c>
      <c r="K114" s="74"/>
      <c r="L114" s="248"/>
      <c r="M114" s="362" t="str">
        <f t="shared" si="6"/>
        <v/>
      </c>
      <c r="N114" s="341" t="str">
        <f t="shared" si="7"/>
        <v/>
      </c>
      <c r="O114" s="462"/>
      <c r="P114" s="355">
        <f t="shared" si="8"/>
        <v>0</v>
      </c>
    </row>
    <row r="115" spans="1:16" ht="15" customHeight="1" x14ac:dyDescent="0.2">
      <c r="A115" s="337"/>
      <c r="B115" s="251" t="s">
        <v>735</v>
      </c>
      <c r="C115" s="338"/>
      <c r="D115" s="338"/>
      <c r="E115" s="338"/>
      <c r="F115" s="338"/>
      <c r="G115" s="343"/>
      <c r="H115" s="344"/>
      <c r="I115" s="261"/>
      <c r="J115" s="261"/>
      <c r="K115" s="74"/>
      <c r="L115" s="248"/>
      <c r="M115" s="248"/>
      <c r="N115" s="248"/>
      <c r="O115" s="462"/>
      <c r="P115" s="355">
        <f t="shared" si="8"/>
        <v>0</v>
      </c>
    </row>
    <row r="116" spans="1:16" ht="15" customHeight="1" x14ac:dyDescent="0.2">
      <c r="A116" s="337"/>
      <c r="B116" s="359" t="s">
        <v>264</v>
      </c>
      <c r="C116" s="338"/>
      <c r="D116" s="338"/>
      <c r="E116" s="338"/>
      <c r="F116" s="338"/>
      <c r="G116" s="343"/>
      <c r="H116" s="74"/>
      <c r="I116" s="261"/>
      <c r="J116" s="340">
        <v>0.5</v>
      </c>
      <c r="K116" s="74"/>
      <c r="L116" s="248"/>
      <c r="M116" s="362" t="str">
        <f t="shared" si="6"/>
        <v/>
      </c>
      <c r="N116" s="341" t="str">
        <f t="shared" si="7"/>
        <v/>
      </c>
      <c r="O116" s="462"/>
      <c r="P116" s="355">
        <f t="shared" si="8"/>
        <v>0</v>
      </c>
    </row>
    <row r="117" spans="1:16" ht="15" customHeight="1" x14ac:dyDescent="0.2">
      <c r="A117" s="337"/>
      <c r="B117" s="359" t="s">
        <v>265</v>
      </c>
      <c r="C117" s="338"/>
      <c r="D117" s="338"/>
      <c r="E117" s="338"/>
      <c r="F117" s="338"/>
      <c r="G117" s="343"/>
      <c r="H117" s="74"/>
      <c r="I117" s="261"/>
      <c r="J117" s="340">
        <v>0.5</v>
      </c>
      <c r="K117" s="74"/>
      <c r="L117" s="248"/>
      <c r="M117" s="362" t="str">
        <f t="shared" si="6"/>
        <v/>
      </c>
      <c r="N117" s="341" t="str">
        <f t="shared" si="7"/>
        <v/>
      </c>
      <c r="O117" s="462"/>
      <c r="P117" s="355">
        <f t="shared" si="8"/>
        <v>0</v>
      </c>
    </row>
    <row r="118" spans="1:16" ht="15" customHeight="1" x14ac:dyDescent="0.2">
      <c r="A118" s="337"/>
      <c r="B118" s="359" t="s">
        <v>736</v>
      </c>
      <c r="C118" s="338"/>
      <c r="D118" s="338"/>
      <c r="E118" s="338"/>
      <c r="F118" s="338"/>
      <c r="G118" s="343"/>
      <c r="H118" s="74"/>
      <c r="I118" s="261"/>
      <c r="J118" s="340">
        <v>0.5</v>
      </c>
      <c r="K118" s="74"/>
      <c r="L118" s="248"/>
      <c r="M118" s="362" t="str">
        <f t="shared" si="6"/>
        <v/>
      </c>
      <c r="N118" s="341" t="str">
        <f t="shared" si="7"/>
        <v/>
      </c>
      <c r="O118" s="462"/>
      <c r="P118" s="355">
        <f t="shared" si="8"/>
        <v>0</v>
      </c>
    </row>
    <row r="119" spans="1:16" s="336" customFormat="1" ht="15" customHeight="1" x14ac:dyDescent="0.2">
      <c r="A119" s="337"/>
      <c r="B119" s="359" t="s">
        <v>263</v>
      </c>
      <c r="C119" s="338"/>
      <c r="D119" s="338"/>
      <c r="E119" s="338"/>
      <c r="F119" s="338"/>
      <c r="G119" s="343"/>
      <c r="H119" s="74"/>
      <c r="I119" s="261"/>
      <c r="J119" s="340">
        <v>0.5</v>
      </c>
      <c r="K119" s="74"/>
      <c r="L119" s="248"/>
      <c r="M119" s="362" t="str">
        <f t="shared" si="6"/>
        <v/>
      </c>
      <c r="N119" s="341" t="str">
        <f t="shared" si="7"/>
        <v/>
      </c>
      <c r="O119" s="461"/>
      <c r="P119" s="355">
        <f t="shared" si="8"/>
        <v>0</v>
      </c>
    </row>
    <row r="120" spans="1:16" ht="15" customHeight="1" x14ac:dyDescent="0.2">
      <c r="A120" s="337"/>
      <c r="B120" s="359" t="s">
        <v>262</v>
      </c>
      <c r="C120" s="338"/>
      <c r="D120" s="338"/>
      <c r="E120" s="338"/>
      <c r="F120" s="338"/>
      <c r="G120" s="343"/>
      <c r="H120" s="74"/>
      <c r="I120" s="261"/>
      <c r="J120" s="340">
        <v>1</v>
      </c>
      <c r="K120" s="74"/>
      <c r="L120" s="248"/>
      <c r="M120" s="362" t="str">
        <f t="shared" si="6"/>
        <v/>
      </c>
      <c r="N120" s="341" t="str">
        <f t="shared" si="7"/>
        <v/>
      </c>
      <c r="O120" s="462"/>
      <c r="P120" s="355">
        <f t="shared" si="8"/>
        <v>0</v>
      </c>
    </row>
    <row r="121" spans="1:16" ht="30" customHeight="1" x14ac:dyDescent="0.2">
      <c r="A121" s="337"/>
      <c r="B121" s="380" t="str">
        <f>CONCATENATE("Check: sum of rows ", ROW(B116), " to ", ROW(B120), " for each column should equal the corresponding column in row ", ROW(B115))</f>
        <v>Check: sum of rows 116 to 120 for each column should equal the corresponding column in row 115</v>
      </c>
      <c r="C121" s="338"/>
      <c r="D121" s="338"/>
      <c r="E121" s="338"/>
      <c r="F121" s="338"/>
      <c r="G121" s="495" t="str">
        <f>IF(SUM(G116:G120)=G115,"Pass","Fail")</f>
        <v>Pass</v>
      </c>
      <c r="H121" s="74"/>
      <c r="I121" s="350"/>
      <c r="J121" s="350"/>
      <c r="K121" s="74"/>
      <c r="L121" s="248"/>
      <c r="M121" s="248"/>
      <c r="N121" s="248"/>
      <c r="O121" s="462"/>
      <c r="P121" s="355">
        <f t="shared" si="8"/>
        <v>0</v>
      </c>
    </row>
    <row r="122" spans="1:16" ht="15" customHeight="1" x14ac:dyDescent="0.2">
      <c r="A122" s="337"/>
      <c r="B122" s="363" t="s">
        <v>741</v>
      </c>
      <c r="C122" s="593"/>
      <c r="D122" s="594"/>
      <c r="E122" s="594"/>
      <c r="F122" s="594"/>
      <c r="G122" s="592"/>
      <c r="H122" s="74"/>
      <c r="I122" s="603"/>
      <c r="J122" s="578"/>
      <c r="K122" s="74"/>
      <c r="L122" s="595"/>
      <c r="M122" s="596"/>
      <c r="N122" s="597"/>
      <c r="O122" s="462"/>
      <c r="P122" s="355">
        <f t="shared" si="8"/>
        <v>0</v>
      </c>
    </row>
    <row r="123" spans="1:16" s="334" customFormat="1" ht="15" customHeight="1" x14ac:dyDescent="0.2">
      <c r="A123" s="337"/>
      <c r="B123" s="251" t="s">
        <v>734</v>
      </c>
      <c r="C123" s="343"/>
      <c r="D123" s="343"/>
      <c r="E123" s="343"/>
      <c r="F123" s="343"/>
      <c r="G123" s="343"/>
      <c r="H123" s="344"/>
      <c r="I123" s="347">
        <v>0</v>
      </c>
      <c r="J123" s="347">
        <v>0.5</v>
      </c>
      <c r="K123" s="344"/>
      <c r="L123" s="358" t="str">
        <f t="shared" ref="L123:L183" si="9">IF(AND(ISNUMBER(C123),ISNUMBER(D123),ISNUMBER(E123),ISNUMBER(F123),ISNUMBER(I123)),SUM(C123:F123)*I123,"")</f>
        <v/>
      </c>
      <c r="M123" s="362" t="str">
        <f t="shared" si="6"/>
        <v/>
      </c>
      <c r="N123" s="341" t="str">
        <f>IF(AND(ISNUMBER(L123),ISNUMBER(M123)),SUM(L123:M123),"")</f>
        <v/>
      </c>
      <c r="O123" s="460"/>
      <c r="P123" s="355">
        <f t="shared" si="8"/>
        <v>0</v>
      </c>
    </row>
    <row r="124" spans="1:16" ht="15" customHeight="1" x14ac:dyDescent="0.2">
      <c r="A124" s="335"/>
      <c r="B124" s="251" t="s">
        <v>735</v>
      </c>
      <c r="C124" s="343"/>
      <c r="D124" s="343"/>
      <c r="E124" s="343"/>
      <c r="F124" s="343"/>
      <c r="G124" s="343"/>
      <c r="H124" s="344"/>
      <c r="I124" s="261"/>
      <c r="J124" s="261"/>
      <c r="K124" s="74"/>
      <c r="L124" s="248"/>
      <c r="M124" s="248"/>
      <c r="N124" s="248"/>
      <c r="O124" s="462"/>
      <c r="P124" s="355">
        <f t="shared" si="8"/>
        <v>0</v>
      </c>
    </row>
    <row r="125" spans="1:16" ht="15" customHeight="1" x14ac:dyDescent="0.2">
      <c r="A125" s="337"/>
      <c r="B125" s="359" t="s">
        <v>264</v>
      </c>
      <c r="C125" s="343"/>
      <c r="D125" s="343"/>
      <c r="E125" s="343"/>
      <c r="F125" s="343"/>
      <c r="G125" s="343"/>
      <c r="H125" s="74"/>
      <c r="I125" s="340">
        <v>0</v>
      </c>
      <c r="J125" s="340">
        <v>0.5</v>
      </c>
      <c r="K125" s="74"/>
      <c r="L125" s="358" t="str">
        <f t="shared" si="9"/>
        <v/>
      </c>
      <c r="M125" s="362" t="str">
        <f t="shared" si="6"/>
        <v/>
      </c>
      <c r="N125" s="341" t="str">
        <f>IF(AND(ISNUMBER(L125),ISNUMBER(M125)),SUM(L125:M125),"")</f>
        <v/>
      </c>
      <c r="O125" s="462"/>
      <c r="P125" s="355">
        <f t="shared" si="8"/>
        <v>0</v>
      </c>
    </row>
    <row r="126" spans="1:16" ht="15" customHeight="1" x14ac:dyDescent="0.2">
      <c r="A126" s="337"/>
      <c r="B126" s="359" t="s">
        <v>265</v>
      </c>
      <c r="C126" s="343"/>
      <c r="D126" s="343"/>
      <c r="E126" s="343"/>
      <c r="F126" s="343"/>
      <c r="G126" s="343"/>
      <c r="H126" s="74"/>
      <c r="I126" s="340">
        <v>0</v>
      </c>
      <c r="J126" s="340">
        <v>0.5</v>
      </c>
      <c r="K126" s="74"/>
      <c r="L126" s="358" t="str">
        <f t="shared" si="9"/>
        <v/>
      </c>
      <c r="M126" s="362" t="str">
        <f t="shared" si="6"/>
        <v/>
      </c>
      <c r="N126" s="341" t="str">
        <f>IF(AND(ISNUMBER(L126),ISNUMBER(M126)),SUM(L126:M126),"")</f>
        <v/>
      </c>
      <c r="O126" s="462"/>
      <c r="P126" s="355">
        <f t="shared" si="8"/>
        <v>0</v>
      </c>
    </row>
    <row r="127" spans="1:16" s="336" customFormat="1" ht="15" customHeight="1" x14ac:dyDescent="0.2">
      <c r="A127" s="337"/>
      <c r="B127" s="359" t="s">
        <v>736</v>
      </c>
      <c r="C127" s="343"/>
      <c r="D127" s="343"/>
      <c r="E127" s="343"/>
      <c r="F127" s="343"/>
      <c r="G127" s="343"/>
      <c r="H127" s="74"/>
      <c r="I127" s="340">
        <v>0</v>
      </c>
      <c r="J127" s="340">
        <v>0.5</v>
      </c>
      <c r="K127" s="74"/>
      <c r="L127" s="358" t="str">
        <f t="shared" si="9"/>
        <v/>
      </c>
      <c r="M127" s="362" t="str">
        <f t="shared" si="6"/>
        <v/>
      </c>
      <c r="N127" s="341" t="str">
        <f>IF(AND(ISNUMBER(L127),ISNUMBER(M127)),SUM(L127:M127),"")</f>
        <v/>
      </c>
      <c r="O127" s="461"/>
      <c r="P127" s="355">
        <f t="shared" si="8"/>
        <v>0</v>
      </c>
    </row>
    <row r="128" spans="1:16" ht="15" customHeight="1" x14ac:dyDescent="0.2">
      <c r="A128" s="337"/>
      <c r="B128" s="359" t="s">
        <v>263</v>
      </c>
      <c r="C128" s="343"/>
      <c r="D128" s="343"/>
      <c r="E128" s="343"/>
      <c r="F128" s="343"/>
      <c r="G128" s="343"/>
      <c r="H128" s="74"/>
      <c r="I128" s="340">
        <v>0</v>
      </c>
      <c r="J128" s="340">
        <v>0.5</v>
      </c>
      <c r="K128" s="74"/>
      <c r="L128" s="358" t="str">
        <f t="shared" si="9"/>
        <v/>
      </c>
      <c r="M128" s="362" t="str">
        <f t="shared" si="6"/>
        <v/>
      </c>
      <c r="N128" s="341" t="str">
        <f>IF(AND(ISNUMBER(L128),ISNUMBER(M128)),SUM(L128:M128),"")</f>
        <v/>
      </c>
      <c r="O128" s="462"/>
      <c r="P128" s="355">
        <f t="shared" si="8"/>
        <v>0</v>
      </c>
    </row>
    <row r="129" spans="1:16" ht="15" customHeight="1" x14ac:dyDescent="0.2">
      <c r="A129" s="337"/>
      <c r="B129" s="359" t="s">
        <v>262</v>
      </c>
      <c r="C129" s="343"/>
      <c r="D129" s="343"/>
      <c r="E129" s="343"/>
      <c r="F129" s="343"/>
      <c r="G129" s="343"/>
      <c r="H129" s="74"/>
      <c r="I129" s="340">
        <v>1</v>
      </c>
      <c r="J129" s="340">
        <v>1</v>
      </c>
      <c r="K129" s="74"/>
      <c r="L129" s="358" t="str">
        <f t="shared" si="9"/>
        <v/>
      </c>
      <c r="M129" s="362" t="str">
        <f t="shared" si="6"/>
        <v/>
      </c>
      <c r="N129" s="341" t="str">
        <f>IF(AND(ISNUMBER(L129),ISNUMBER(M129)),SUM(L129:M129),"")</f>
        <v/>
      </c>
      <c r="O129" s="462"/>
      <c r="P129" s="355">
        <f t="shared" si="8"/>
        <v>0</v>
      </c>
    </row>
    <row r="130" spans="1:16" ht="30" customHeight="1" x14ac:dyDescent="0.2">
      <c r="A130" s="337"/>
      <c r="B130" s="380" t="str">
        <f>CONCATENATE("Check: sum of rows ", ROW(B125), " to ", ROW(B129), " for each column should equal the corresponding column in row ", ROW(B124))</f>
        <v>Check: sum of rows 125 to 129 for each column should equal the corresponding column in row 124</v>
      </c>
      <c r="C130" s="495" t="str">
        <f>IF(SUM(C125:C129)=C124,"Pass","Fail")</f>
        <v>Pass</v>
      </c>
      <c r="D130" s="495" t="str">
        <f>IF(SUM(D125:D129)=D124,"Pass","Fail")</f>
        <v>Pass</v>
      </c>
      <c r="E130" s="495" t="str">
        <f>IF(SUM(E125:E129)=E124,"Pass","Fail")</f>
        <v>Pass</v>
      </c>
      <c r="F130" s="495" t="str">
        <f>IF(SUM(F125:F129)=F124,"Pass","Fail")</f>
        <v>Pass</v>
      </c>
      <c r="G130" s="495" t="str">
        <f>IF(SUM(G125:G129)=G124,"Pass","Fail")</f>
        <v>Pass</v>
      </c>
      <c r="H130" s="74"/>
      <c r="I130" s="350"/>
      <c r="J130" s="350"/>
      <c r="K130" s="74"/>
      <c r="L130" s="248"/>
      <c r="M130" s="248"/>
      <c r="N130" s="248"/>
      <c r="O130" s="462"/>
      <c r="P130" s="355">
        <f t="shared" si="8"/>
        <v>0</v>
      </c>
    </row>
    <row r="131" spans="1:16" ht="15" customHeight="1" x14ac:dyDescent="0.2">
      <c r="A131" s="337"/>
      <c r="B131" s="364" t="s">
        <v>764</v>
      </c>
      <c r="C131" s="593"/>
      <c r="D131" s="594"/>
      <c r="E131" s="594"/>
      <c r="F131" s="594"/>
      <c r="G131" s="592"/>
      <c r="H131" s="74"/>
      <c r="I131" s="603"/>
      <c r="J131" s="578"/>
      <c r="K131" s="74"/>
      <c r="L131" s="595"/>
      <c r="M131" s="596"/>
      <c r="N131" s="597"/>
      <c r="O131" s="462"/>
      <c r="P131" s="355">
        <f t="shared" si="8"/>
        <v>0</v>
      </c>
    </row>
    <row r="132" spans="1:16" s="334" customFormat="1" ht="15" customHeight="1" x14ac:dyDescent="0.2">
      <c r="A132" s="337"/>
      <c r="B132" s="251" t="s">
        <v>734</v>
      </c>
      <c r="C132" s="343"/>
      <c r="D132" s="343"/>
      <c r="E132" s="343"/>
      <c r="F132" s="343"/>
      <c r="G132" s="343"/>
      <c r="H132" s="344"/>
      <c r="I132" s="347">
        <v>0</v>
      </c>
      <c r="J132" s="347">
        <v>0.5</v>
      </c>
      <c r="K132" s="344"/>
      <c r="L132" s="358" t="str">
        <f t="shared" si="9"/>
        <v/>
      </c>
      <c r="M132" s="362" t="str">
        <f t="shared" si="6"/>
        <v/>
      </c>
      <c r="N132" s="341" t="str">
        <f>IF(AND(ISNUMBER(L132),ISNUMBER(M132)),SUM(L132:M132),"")</f>
        <v/>
      </c>
      <c r="O132" s="460"/>
      <c r="P132" s="355">
        <f t="shared" si="8"/>
        <v>0</v>
      </c>
    </row>
    <row r="133" spans="1:16" ht="15" customHeight="1" x14ac:dyDescent="0.2">
      <c r="A133" s="335"/>
      <c r="B133" s="251" t="s">
        <v>735</v>
      </c>
      <c r="C133" s="343"/>
      <c r="D133" s="343"/>
      <c r="E133" s="343"/>
      <c r="F133" s="343"/>
      <c r="G133" s="343"/>
      <c r="H133" s="344"/>
      <c r="I133" s="261"/>
      <c r="J133" s="261"/>
      <c r="K133" s="74"/>
      <c r="L133" s="248"/>
      <c r="M133" s="248"/>
      <c r="N133" s="248"/>
      <c r="O133" s="462"/>
      <c r="P133" s="355">
        <f t="shared" si="8"/>
        <v>0</v>
      </c>
    </row>
    <row r="134" spans="1:16" ht="15" customHeight="1" x14ac:dyDescent="0.2">
      <c r="A134" s="337"/>
      <c r="B134" s="359" t="s">
        <v>264</v>
      </c>
      <c r="C134" s="343"/>
      <c r="D134" s="343"/>
      <c r="E134" s="343"/>
      <c r="F134" s="343"/>
      <c r="G134" s="343"/>
      <c r="H134" s="74"/>
      <c r="I134" s="340">
        <v>0</v>
      </c>
      <c r="J134" s="340">
        <v>0.5</v>
      </c>
      <c r="K134" s="74"/>
      <c r="L134" s="358" t="str">
        <f t="shared" si="9"/>
        <v/>
      </c>
      <c r="M134" s="362" t="str">
        <f t="shared" si="6"/>
        <v/>
      </c>
      <c r="N134" s="341" t="str">
        <f>IF(AND(ISNUMBER(L134),ISNUMBER(M134)),SUM(L134:M134),"")</f>
        <v/>
      </c>
      <c r="O134" s="462"/>
      <c r="P134" s="355">
        <f t="shared" si="8"/>
        <v>0</v>
      </c>
    </row>
    <row r="135" spans="1:16" ht="15" customHeight="1" x14ac:dyDescent="0.2">
      <c r="A135" s="337"/>
      <c r="B135" s="359" t="s">
        <v>265</v>
      </c>
      <c r="C135" s="343"/>
      <c r="D135" s="343"/>
      <c r="E135" s="343"/>
      <c r="F135" s="343"/>
      <c r="G135" s="343"/>
      <c r="H135" s="74"/>
      <c r="I135" s="340">
        <v>0</v>
      </c>
      <c r="J135" s="340">
        <v>0.5</v>
      </c>
      <c r="K135" s="74"/>
      <c r="L135" s="358" t="str">
        <f t="shared" si="9"/>
        <v/>
      </c>
      <c r="M135" s="362" t="str">
        <f t="shared" si="6"/>
        <v/>
      </c>
      <c r="N135" s="341" t="str">
        <f>IF(AND(ISNUMBER(L135),ISNUMBER(M135)),SUM(L135:M135),"")</f>
        <v/>
      </c>
      <c r="O135" s="462"/>
      <c r="P135" s="355">
        <f t="shared" si="8"/>
        <v>0</v>
      </c>
    </row>
    <row r="136" spans="1:16" ht="15" customHeight="1" x14ac:dyDescent="0.2">
      <c r="A136" s="337"/>
      <c r="B136" s="359" t="s">
        <v>736</v>
      </c>
      <c r="C136" s="343"/>
      <c r="D136" s="343"/>
      <c r="E136" s="343"/>
      <c r="F136" s="343"/>
      <c r="G136" s="343"/>
      <c r="H136" s="74"/>
      <c r="I136" s="340">
        <v>0</v>
      </c>
      <c r="J136" s="340">
        <v>0.5</v>
      </c>
      <c r="K136" s="74"/>
      <c r="L136" s="358" t="str">
        <f t="shared" si="9"/>
        <v/>
      </c>
      <c r="M136" s="362" t="str">
        <f t="shared" si="6"/>
        <v/>
      </c>
      <c r="N136" s="341" t="str">
        <f>IF(AND(ISNUMBER(L136),ISNUMBER(M136)),SUM(L136:M136),"")</f>
        <v/>
      </c>
      <c r="O136" s="462"/>
      <c r="P136" s="355">
        <f t="shared" si="8"/>
        <v>0</v>
      </c>
    </row>
    <row r="137" spans="1:16" ht="15" customHeight="1" x14ac:dyDescent="0.2">
      <c r="A137" s="337"/>
      <c r="B137" s="359" t="s">
        <v>263</v>
      </c>
      <c r="C137" s="343"/>
      <c r="D137" s="343"/>
      <c r="E137" s="343"/>
      <c r="F137" s="343"/>
      <c r="G137" s="343"/>
      <c r="H137" s="74"/>
      <c r="I137" s="340">
        <v>0</v>
      </c>
      <c r="J137" s="340">
        <v>0.5</v>
      </c>
      <c r="K137" s="74"/>
      <c r="L137" s="358" t="str">
        <f t="shared" si="9"/>
        <v/>
      </c>
      <c r="M137" s="362" t="str">
        <f t="shared" si="6"/>
        <v/>
      </c>
      <c r="N137" s="341" t="str">
        <f>IF(AND(ISNUMBER(L137),ISNUMBER(M137)),SUM(L137:M137),"")</f>
        <v/>
      </c>
      <c r="O137" s="462"/>
      <c r="P137" s="355">
        <f t="shared" si="8"/>
        <v>0</v>
      </c>
    </row>
    <row r="138" spans="1:16" ht="15" customHeight="1" x14ac:dyDescent="0.2">
      <c r="A138" s="337"/>
      <c r="B138" s="359" t="s">
        <v>262</v>
      </c>
      <c r="C138" s="343"/>
      <c r="D138" s="343"/>
      <c r="E138" s="343"/>
      <c r="F138" s="343"/>
      <c r="G138" s="343"/>
      <c r="H138" s="74"/>
      <c r="I138" s="340">
        <v>1</v>
      </c>
      <c r="J138" s="340">
        <v>1</v>
      </c>
      <c r="K138" s="74"/>
      <c r="L138" s="358" t="str">
        <f t="shared" si="9"/>
        <v/>
      </c>
      <c r="M138" s="362" t="str">
        <f t="shared" si="6"/>
        <v/>
      </c>
      <c r="N138" s="341" t="str">
        <f>IF(AND(ISNUMBER(L138),ISNUMBER(M138)),SUM(L138:M138),"")</f>
        <v/>
      </c>
      <c r="O138" s="462"/>
      <c r="P138" s="355">
        <f t="shared" si="8"/>
        <v>0</v>
      </c>
    </row>
    <row r="139" spans="1:16" ht="30" customHeight="1" x14ac:dyDescent="0.2">
      <c r="A139" s="337"/>
      <c r="B139" s="380" t="str">
        <f>CONCATENATE("Check: sum of rows ", ROW(B134), " to ", ROW(B138), " for each column should equal the corresponding column in row ", ROW(B133))</f>
        <v>Check: sum of rows 134 to 138 for each column should equal the corresponding column in row 133</v>
      </c>
      <c r="C139" s="495" t="str">
        <f>IF(SUM(C134:C138)=C133,"Pass","Fail")</f>
        <v>Pass</v>
      </c>
      <c r="D139" s="495" t="str">
        <f>IF(SUM(D134:D138)=D133,"Pass","Fail")</f>
        <v>Pass</v>
      </c>
      <c r="E139" s="495" t="str">
        <f>IF(SUM(E134:E138)=E133,"Pass","Fail")</f>
        <v>Pass</v>
      </c>
      <c r="F139" s="495" t="str">
        <f>IF(SUM(F134:F138)=F133,"Pass","Fail")</f>
        <v>Pass</v>
      </c>
      <c r="G139" s="495" t="str">
        <f>IF(SUM(G134:G138)=G133,"Pass","Fail")</f>
        <v>Pass</v>
      </c>
      <c r="H139" s="74"/>
      <c r="I139" s="350"/>
      <c r="J139" s="350"/>
      <c r="K139" s="74"/>
      <c r="L139" s="248"/>
      <c r="M139" s="248"/>
      <c r="N139" s="248"/>
      <c r="O139" s="462"/>
      <c r="P139" s="355">
        <f t="shared" si="8"/>
        <v>0</v>
      </c>
    </row>
    <row r="140" spans="1:16" ht="30" customHeight="1" x14ac:dyDescent="0.2">
      <c r="A140" s="337"/>
      <c r="B140" s="483" t="s">
        <v>583</v>
      </c>
      <c r="C140" s="593"/>
      <c r="D140" s="594"/>
      <c r="E140" s="594"/>
      <c r="F140" s="594"/>
      <c r="G140" s="592"/>
      <c r="H140" s="74"/>
      <c r="I140" s="603"/>
      <c r="J140" s="578"/>
      <c r="K140" s="74"/>
      <c r="L140" s="595"/>
      <c r="M140" s="596"/>
      <c r="N140" s="597"/>
      <c r="O140" s="462"/>
      <c r="P140" s="355">
        <f t="shared" si="8"/>
        <v>0</v>
      </c>
    </row>
    <row r="141" spans="1:16" ht="15" customHeight="1" x14ac:dyDescent="0.2">
      <c r="A141" s="337"/>
      <c r="B141" s="251" t="s">
        <v>734</v>
      </c>
      <c r="C141" s="343"/>
      <c r="D141" s="343"/>
      <c r="E141" s="343"/>
      <c r="F141" s="343"/>
      <c r="G141" s="338"/>
      <c r="H141" s="344"/>
      <c r="I141" s="347">
        <v>0.5</v>
      </c>
      <c r="J141" s="261"/>
      <c r="K141" s="74"/>
      <c r="L141" s="358" t="str">
        <f t="shared" si="9"/>
        <v/>
      </c>
      <c r="M141" s="248"/>
      <c r="N141" s="341" t="str">
        <f>L141</f>
        <v/>
      </c>
      <c r="O141" s="462"/>
      <c r="P141" s="355">
        <f t="shared" si="8"/>
        <v>0</v>
      </c>
    </row>
    <row r="142" spans="1:16" ht="15" customHeight="1" x14ac:dyDescent="0.2">
      <c r="A142" s="337"/>
      <c r="B142" s="251" t="s">
        <v>735</v>
      </c>
      <c r="C142" s="343"/>
      <c r="D142" s="343"/>
      <c r="E142" s="343"/>
      <c r="F142" s="343"/>
      <c r="G142" s="338"/>
      <c r="H142" s="344"/>
      <c r="I142" s="261"/>
      <c r="J142" s="261"/>
      <c r="K142" s="74"/>
      <c r="L142" s="248"/>
      <c r="M142" s="248"/>
      <c r="N142" s="248"/>
      <c r="O142" s="462"/>
      <c r="P142" s="355">
        <f t="shared" si="8"/>
        <v>0</v>
      </c>
    </row>
    <row r="143" spans="1:16" ht="15" customHeight="1" x14ac:dyDescent="0.2">
      <c r="A143" s="337"/>
      <c r="B143" s="359" t="s">
        <v>264</v>
      </c>
      <c r="C143" s="343"/>
      <c r="D143" s="343"/>
      <c r="E143" s="343"/>
      <c r="F143" s="343"/>
      <c r="G143" s="338"/>
      <c r="H143" s="74"/>
      <c r="I143" s="340">
        <v>0.5</v>
      </c>
      <c r="J143" s="261"/>
      <c r="K143" s="74"/>
      <c r="L143" s="358" t="str">
        <f t="shared" si="9"/>
        <v/>
      </c>
      <c r="M143" s="248"/>
      <c r="N143" s="341" t="str">
        <f>L143</f>
        <v/>
      </c>
      <c r="O143" s="462"/>
      <c r="P143" s="355">
        <f t="shared" si="8"/>
        <v>0</v>
      </c>
    </row>
    <row r="144" spans="1:16" ht="15" customHeight="1" x14ac:dyDescent="0.2">
      <c r="A144" s="337"/>
      <c r="B144" s="359" t="s">
        <v>265</v>
      </c>
      <c r="C144" s="343"/>
      <c r="D144" s="343"/>
      <c r="E144" s="343"/>
      <c r="F144" s="343"/>
      <c r="G144" s="338"/>
      <c r="H144" s="74"/>
      <c r="I144" s="340">
        <v>0.5</v>
      </c>
      <c r="J144" s="261"/>
      <c r="K144" s="74"/>
      <c r="L144" s="358" t="str">
        <f t="shared" si="9"/>
        <v/>
      </c>
      <c r="M144" s="248"/>
      <c r="N144" s="341" t="str">
        <f>L144</f>
        <v/>
      </c>
      <c r="O144" s="462"/>
      <c r="P144" s="355">
        <f t="shared" si="8"/>
        <v>0</v>
      </c>
    </row>
    <row r="145" spans="1:16" ht="15" customHeight="1" x14ac:dyDescent="0.2">
      <c r="A145" s="337"/>
      <c r="B145" s="359" t="s">
        <v>736</v>
      </c>
      <c r="C145" s="343"/>
      <c r="D145" s="343"/>
      <c r="E145" s="343"/>
      <c r="F145" s="343"/>
      <c r="G145" s="338"/>
      <c r="H145" s="74"/>
      <c r="I145" s="340">
        <v>0.5</v>
      </c>
      <c r="J145" s="261"/>
      <c r="K145" s="74"/>
      <c r="L145" s="358" t="str">
        <f t="shared" si="9"/>
        <v/>
      </c>
      <c r="M145" s="248"/>
      <c r="N145" s="341" t="str">
        <f>L145</f>
        <v/>
      </c>
      <c r="O145" s="462"/>
      <c r="P145" s="355">
        <f t="shared" si="8"/>
        <v>0</v>
      </c>
    </row>
    <row r="146" spans="1:16" ht="15" customHeight="1" x14ac:dyDescent="0.2">
      <c r="A146" s="337"/>
      <c r="B146" s="359" t="s">
        <v>263</v>
      </c>
      <c r="C146" s="343"/>
      <c r="D146" s="343"/>
      <c r="E146" s="343"/>
      <c r="F146" s="343"/>
      <c r="G146" s="338"/>
      <c r="H146" s="74"/>
      <c r="I146" s="340">
        <v>0.5</v>
      </c>
      <c r="J146" s="261"/>
      <c r="K146" s="74"/>
      <c r="L146" s="358" t="str">
        <f t="shared" si="9"/>
        <v/>
      </c>
      <c r="M146" s="248"/>
      <c r="N146" s="341" t="str">
        <f>L146</f>
        <v/>
      </c>
      <c r="O146" s="462"/>
      <c r="P146" s="355">
        <f t="shared" si="8"/>
        <v>0</v>
      </c>
    </row>
    <row r="147" spans="1:16" ht="15" customHeight="1" x14ac:dyDescent="0.2">
      <c r="A147" s="337"/>
      <c r="B147" s="359" t="s">
        <v>262</v>
      </c>
      <c r="C147" s="343"/>
      <c r="D147" s="343"/>
      <c r="E147" s="343"/>
      <c r="F147" s="343"/>
      <c r="G147" s="338"/>
      <c r="H147" s="74"/>
      <c r="I147" s="340">
        <v>1</v>
      </c>
      <c r="J147" s="261"/>
      <c r="K147" s="74"/>
      <c r="L147" s="358" t="str">
        <f t="shared" si="9"/>
        <v/>
      </c>
      <c r="M147" s="248"/>
      <c r="N147" s="341" t="str">
        <f>L147</f>
        <v/>
      </c>
      <c r="O147" s="462"/>
      <c r="P147" s="355">
        <f t="shared" si="8"/>
        <v>0</v>
      </c>
    </row>
    <row r="148" spans="1:16" ht="30" customHeight="1" x14ac:dyDescent="0.2">
      <c r="A148" s="337"/>
      <c r="B148" s="380" t="str">
        <f>CONCATENATE("Check: sum of rows ", ROW(B143), " to ", ROW(B147), " for each column should equal the corresponding column in row ", ROW(B142))</f>
        <v>Check: sum of rows 143 to 147 for each column should equal the corresponding column in row 142</v>
      </c>
      <c r="C148" s="495" t="str">
        <f>IF(SUM(C143:C147)=C142,"Pass","Fail")</f>
        <v>Pass</v>
      </c>
      <c r="D148" s="495" t="str">
        <f>IF(SUM(D143:D147)=D142,"Pass","Fail")</f>
        <v>Pass</v>
      </c>
      <c r="E148" s="495" t="str">
        <f>IF(SUM(E143:E147)=E142,"Pass","Fail")</f>
        <v>Pass</v>
      </c>
      <c r="F148" s="495" t="str">
        <f>IF(SUM(F143:F147)=F142,"Pass","Fail")</f>
        <v>Pass</v>
      </c>
      <c r="G148" s="338"/>
      <c r="H148" s="74"/>
      <c r="I148" s="350"/>
      <c r="J148" s="350"/>
      <c r="K148" s="74"/>
      <c r="L148" s="248"/>
      <c r="M148" s="248"/>
      <c r="N148" s="248"/>
      <c r="O148" s="462"/>
      <c r="P148" s="355">
        <f t="shared" si="8"/>
        <v>0</v>
      </c>
    </row>
    <row r="149" spans="1:16" ht="30" customHeight="1" x14ac:dyDescent="0.2">
      <c r="A149" s="337"/>
      <c r="B149" s="364" t="s">
        <v>523</v>
      </c>
      <c r="C149" s="593"/>
      <c r="D149" s="594"/>
      <c r="E149" s="594"/>
      <c r="F149" s="594"/>
      <c r="G149" s="592"/>
      <c r="H149" s="74"/>
      <c r="I149" s="603"/>
      <c r="J149" s="578"/>
      <c r="K149" s="74"/>
      <c r="L149" s="595"/>
      <c r="M149" s="596"/>
      <c r="N149" s="597"/>
      <c r="O149" s="462"/>
      <c r="P149" s="355">
        <f t="shared" si="8"/>
        <v>0</v>
      </c>
    </row>
    <row r="150" spans="1:16" s="334" customFormat="1" ht="15" customHeight="1" x14ac:dyDescent="0.2">
      <c r="A150" s="337"/>
      <c r="B150" s="251" t="s">
        <v>734</v>
      </c>
      <c r="C150" s="343"/>
      <c r="D150" s="343"/>
      <c r="E150" s="343"/>
      <c r="F150" s="343"/>
      <c r="G150" s="343"/>
      <c r="H150" s="344"/>
      <c r="I150" s="347">
        <v>0.65</v>
      </c>
      <c r="J150" s="347">
        <v>0.65</v>
      </c>
      <c r="K150" s="344"/>
      <c r="L150" s="358" t="str">
        <f t="shared" si="9"/>
        <v/>
      </c>
      <c r="M150" s="362" t="str">
        <f t="shared" si="6"/>
        <v/>
      </c>
      <c r="N150" s="341" t="str">
        <f>IF(AND(ISNUMBER(L150),ISNUMBER(M150)),SUM(L150:M150),"")</f>
        <v/>
      </c>
      <c r="O150" s="460"/>
      <c r="P150" s="355">
        <f t="shared" si="8"/>
        <v>0</v>
      </c>
    </row>
    <row r="151" spans="1:16" ht="15" customHeight="1" x14ac:dyDescent="0.2">
      <c r="A151" s="335"/>
      <c r="B151" s="251" t="s">
        <v>735</v>
      </c>
      <c r="C151" s="343"/>
      <c r="D151" s="343"/>
      <c r="E151" s="343"/>
      <c r="F151" s="343"/>
      <c r="G151" s="343"/>
      <c r="H151" s="344"/>
      <c r="I151" s="261"/>
      <c r="J151" s="261"/>
      <c r="K151" s="74"/>
      <c r="L151" s="248"/>
      <c r="M151" s="248"/>
      <c r="N151" s="248"/>
      <c r="O151" s="462"/>
      <c r="P151" s="355">
        <f t="shared" si="8"/>
        <v>0</v>
      </c>
    </row>
    <row r="152" spans="1:16" ht="15" customHeight="1" x14ac:dyDescent="0.2">
      <c r="A152" s="337"/>
      <c r="B152" s="359" t="s">
        <v>264</v>
      </c>
      <c r="C152" s="343"/>
      <c r="D152" s="343"/>
      <c r="E152" s="343"/>
      <c r="F152" s="343"/>
      <c r="G152" s="343"/>
      <c r="H152" s="74"/>
      <c r="I152" s="340">
        <v>0.65</v>
      </c>
      <c r="J152" s="340">
        <v>0.65</v>
      </c>
      <c r="K152" s="74"/>
      <c r="L152" s="358" t="str">
        <f t="shared" si="9"/>
        <v/>
      </c>
      <c r="M152" s="362" t="str">
        <f t="shared" si="6"/>
        <v/>
      </c>
      <c r="N152" s="341" t="str">
        <f>IF(AND(ISNUMBER(L152),ISNUMBER(M152)),SUM(L152:M152),"")</f>
        <v/>
      </c>
      <c r="O152" s="462"/>
      <c r="P152" s="355">
        <f t="shared" si="8"/>
        <v>0</v>
      </c>
    </row>
    <row r="153" spans="1:16" ht="15" customHeight="1" x14ac:dyDescent="0.2">
      <c r="A153" s="337"/>
      <c r="B153" s="359" t="s">
        <v>265</v>
      </c>
      <c r="C153" s="343"/>
      <c r="D153" s="343"/>
      <c r="E153" s="343"/>
      <c r="F153" s="343"/>
      <c r="G153" s="343"/>
      <c r="H153" s="74"/>
      <c r="I153" s="340">
        <v>0.65</v>
      </c>
      <c r="J153" s="340">
        <v>0.65</v>
      </c>
      <c r="K153" s="74"/>
      <c r="L153" s="358" t="str">
        <f t="shared" si="9"/>
        <v/>
      </c>
      <c r="M153" s="362" t="str">
        <f t="shared" si="6"/>
        <v/>
      </c>
      <c r="N153" s="341" t="str">
        <f>IF(AND(ISNUMBER(L153),ISNUMBER(M153)),SUM(L153:M153),"")</f>
        <v/>
      </c>
      <c r="O153" s="462"/>
      <c r="P153" s="355">
        <f t="shared" si="8"/>
        <v>0</v>
      </c>
    </row>
    <row r="154" spans="1:16" ht="15" customHeight="1" x14ac:dyDescent="0.2">
      <c r="A154" s="337"/>
      <c r="B154" s="359" t="s">
        <v>736</v>
      </c>
      <c r="C154" s="343"/>
      <c r="D154" s="343"/>
      <c r="E154" s="343"/>
      <c r="F154" s="343"/>
      <c r="G154" s="343"/>
      <c r="H154" s="74"/>
      <c r="I154" s="340">
        <v>0.65</v>
      </c>
      <c r="J154" s="340">
        <v>0.65</v>
      </c>
      <c r="K154" s="74"/>
      <c r="L154" s="358" t="str">
        <f t="shared" si="9"/>
        <v/>
      </c>
      <c r="M154" s="362" t="str">
        <f>IF(AND(ISNUMBER(G154),ISNUMBER(J154)),G154*J154,"")</f>
        <v/>
      </c>
      <c r="N154" s="341" t="str">
        <f>IF(AND(ISNUMBER(L154),ISNUMBER(M154)),SUM(L154:M154),"")</f>
        <v/>
      </c>
      <c r="O154" s="462"/>
      <c r="P154" s="355">
        <f t="shared" si="8"/>
        <v>0</v>
      </c>
    </row>
    <row r="155" spans="1:16" ht="15" customHeight="1" x14ac:dyDescent="0.2">
      <c r="A155" s="337"/>
      <c r="B155" s="359" t="s">
        <v>263</v>
      </c>
      <c r="C155" s="343"/>
      <c r="D155" s="343"/>
      <c r="E155" s="343"/>
      <c r="F155" s="343"/>
      <c r="G155" s="343"/>
      <c r="H155" s="74"/>
      <c r="I155" s="340">
        <v>0.65</v>
      </c>
      <c r="J155" s="340">
        <v>0.65</v>
      </c>
      <c r="K155" s="74"/>
      <c r="L155" s="358" t="str">
        <f t="shared" si="9"/>
        <v/>
      </c>
      <c r="M155" s="362" t="str">
        <f>IF(AND(ISNUMBER(G155),ISNUMBER(J155)),G155*J155,"")</f>
        <v/>
      </c>
      <c r="N155" s="341" t="str">
        <f>IF(AND(ISNUMBER(L155),ISNUMBER(M155)),SUM(L155:M155),"")</f>
        <v/>
      </c>
      <c r="O155" s="462"/>
      <c r="P155" s="355">
        <f t="shared" si="8"/>
        <v>0</v>
      </c>
    </row>
    <row r="156" spans="1:16" ht="15" customHeight="1" x14ac:dyDescent="0.2">
      <c r="A156" s="337"/>
      <c r="B156" s="359" t="s">
        <v>262</v>
      </c>
      <c r="C156" s="343"/>
      <c r="D156" s="343"/>
      <c r="E156" s="343"/>
      <c r="F156" s="343"/>
      <c r="G156" s="343"/>
      <c r="H156" s="74"/>
      <c r="I156" s="340">
        <v>1</v>
      </c>
      <c r="J156" s="340">
        <v>1</v>
      </c>
      <c r="K156" s="74"/>
      <c r="L156" s="358" t="str">
        <f t="shared" si="9"/>
        <v/>
      </c>
      <c r="M156" s="362" t="str">
        <f>IF(AND(ISNUMBER(G156),ISNUMBER(J156)),G156*J156,"")</f>
        <v/>
      </c>
      <c r="N156" s="341" t="str">
        <f>IF(AND(ISNUMBER(L156),ISNUMBER(M156)),SUM(L156:M156),"")</f>
        <v/>
      </c>
      <c r="O156" s="462"/>
      <c r="P156" s="355">
        <f t="shared" si="8"/>
        <v>0</v>
      </c>
    </row>
    <row r="157" spans="1:16" ht="30" customHeight="1" x14ac:dyDescent="0.2">
      <c r="A157" s="337"/>
      <c r="B157" s="380" t="str">
        <f>CONCATENATE("Check: sum of rows ", ROW(B152), " to ", ROW(B156), " for each column should equal the corresponding column in row ", ROW(B151))</f>
        <v>Check: sum of rows 152 to 156 for each column should equal the corresponding column in row 151</v>
      </c>
      <c r="C157" s="495" t="str">
        <f>IF(SUM(C152:C156)=C151,"Pass","Fail")</f>
        <v>Pass</v>
      </c>
      <c r="D157" s="495" t="str">
        <f>IF(SUM(D152:D156)=D151,"Pass","Fail")</f>
        <v>Pass</v>
      </c>
      <c r="E157" s="495" t="str">
        <f>IF(SUM(E152:E156)=E151,"Pass","Fail")</f>
        <v>Pass</v>
      </c>
      <c r="F157" s="495" t="str">
        <f>IF(SUM(F152:F156)=F151,"Pass","Fail")</f>
        <v>Pass</v>
      </c>
      <c r="G157" s="495" t="str">
        <f>IF(SUM(G152:G156)=G151,"Pass","Fail")</f>
        <v>Pass</v>
      </c>
      <c r="H157" s="74"/>
      <c r="I157" s="350"/>
      <c r="J157" s="350"/>
      <c r="K157" s="74"/>
      <c r="L157" s="248"/>
      <c r="M157" s="248"/>
      <c r="N157" s="248"/>
      <c r="O157" s="462"/>
      <c r="P157" s="355">
        <f t="shared" si="8"/>
        <v>0</v>
      </c>
    </row>
    <row r="158" spans="1:16" s="156" customFormat="1" ht="41.25" customHeight="1" x14ac:dyDescent="0.2">
      <c r="A158" s="484"/>
      <c r="B158" s="364" t="s">
        <v>584</v>
      </c>
      <c r="C158" s="318"/>
      <c r="D158" s="320"/>
      <c r="E158" s="320"/>
      <c r="F158" s="320"/>
      <c r="G158" s="319"/>
      <c r="H158" s="201"/>
      <c r="I158" s="603"/>
      <c r="J158" s="578"/>
      <c r="K158" s="201"/>
      <c r="L158" s="595"/>
      <c r="M158" s="596"/>
      <c r="N158" s="597"/>
      <c r="O158" s="155"/>
      <c r="P158" s="355">
        <f t="shared" si="8"/>
        <v>0</v>
      </c>
    </row>
    <row r="159" spans="1:16" s="156" customFormat="1" ht="15" customHeight="1" x14ac:dyDescent="0.2">
      <c r="A159" s="484"/>
      <c r="B159" s="251" t="s">
        <v>734</v>
      </c>
      <c r="C159" s="406"/>
      <c r="D159" s="406"/>
      <c r="E159" s="406"/>
      <c r="F159" s="406"/>
      <c r="G159" s="338"/>
      <c r="H159" s="201"/>
      <c r="I159" s="408">
        <v>0.65</v>
      </c>
      <c r="J159" s="485"/>
      <c r="K159" s="201"/>
      <c r="L159" s="381" t="str">
        <f>IF(AND(ISNUMBER(C159),ISNUMBER(D159),ISNUMBER(E159),ISNUMBER(F159),ISNUMBER(I159)),SUM(C159:F159)*I159,"")</f>
        <v/>
      </c>
      <c r="M159" s="485"/>
      <c r="N159" s="194" t="str">
        <f>L159</f>
        <v/>
      </c>
      <c r="O159" s="155"/>
      <c r="P159" s="355">
        <f t="shared" si="8"/>
        <v>0</v>
      </c>
    </row>
    <row r="160" spans="1:16" s="156" customFormat="1" ht="15" customHeight="1" x14ac:dyDescent="0.2">
      <c r="A160" s="484"/>
      <c r="B160" s="251" t="s">
        <v>735</v>
      </c>
      <c r="C160" s="406"/>
      <c r="D160" s="406"/>
      <c r="E160" s="406"/>
      <c r="F160" s="406"/>
      <c r="G160" s="338"/>
      <c r="H160" s="201"/>
      <c r="I160" s="261"/>
      <c r="J160" s="485"/>
      <c r="K160" s="201"/>
      <c r="L160" s="248"/>
      <c r="M160" s="485"/>
      <c r="N160" s="248"/>
      <c r="O160" s="155"/>
      <c r="P160" s="355">
        <f t="shared" si="8"/>
        <v>0</v>
      </c>
    </row>
    <row r="161" spans="1:16" s="156" customFormat="1" ht="15" customHeight="1" x14ac:dyDescent="0.2">
      <c r="A161" s="484"/>
      <c r="B161" s="486" t="s">
        <v>585</v>
      </c>
      <c r="C161" s="406"/>
      <c r="D161" s="406"/>
      <c r="E161" s="406"/>
      <c r="F161" s="406"/>
      <c r="G161" s="39"/>
      <c r="H161" s="201"/>
      <c r="I161" s="408">
        <v>0.65</v>
      </c>
      <c r="J161" s="39"/>
      <c r="K161" s="201"/>
      <c r="L161" s="381" t="str">
        <f>IF(AND(ISNUMBER(C161),ISNUMBER(D161),ISNUMBER(E161),ISNUMBER(F161),ISNUMBER(I161)),SUM(C161:F161)*I161,"")</f>
        <v/>
      </c>
      <c r="M161" s="39"/>
      <c r="N161" s="194" t="str">
        <f>L161</f>
        <v/>
      </c>
      <c r="O161" s="155"/>
      <c r="P161" s="355">
        <f t="shared" si="8"/>
        <v>0</v>
      </c>
    </row>
    <row r="162" spans="1:16" s="156" customFormat="1" ht="15" customHeight="1" x14ac:dyDescent="0.2">
      <c r="A162" s="484"/>
      <c r="B162" s="486" t="s">
        <v>586</v>
      </c>
      <c r="C162" s="406"/>
      <c r="D162" s="406"/>
      <c r="E162" s="406"/>
      <c r="F162" s="406"/>
      <c r="G162" s="39"/>
      <c r="H162" s="201"/>
      <c r="I162" s="408">
        <v>0.65</v>
      </c>
      <c r="J162" s="39"/>
      <c r="K162" s="201"/>
      <c r="L162" s="381" t="str">
        <f>IF(AND(ISNUMBER(C162),ISNUMBER(D162),ISNUMBER(E162),ISNUMBER(F162),ISNUMBER(I162)),SUM(C162:F162)*I162,"")</f>
        <v/>
      </c>
      <c r="M162" s="39"/>
      <c r="N162" s="194" t="str">
        <f>L162</f>
        <v/>
      </c>
      <c r="O162" s="155"/>
      <c r="P162" s="355">
        <f t="shared" si="8"/>
        <v>0</v>
      </c>
    </row>
    <row r="163" spans="1:16" s="156" customFormat="1" ht="15" customHeight="1" x14ac:dyDescent="0.2">
      <c r="A163" s="484"/>
      <c r="B163" s="486" t="s">
        <v>736</v>
      </c>
      <c r="C163" s="406"/>
      <c r="D163" s="406"/>
      <c r="E163" s="406"/>
      <c r="F163" s="406"/>
      <c r="G163" s="39"/>
      <c r="H163" s="201"/>
      <c r="I163" s="408">
        <v>0.65</v>
      </c>
      <c r="J163" s="39"/>
      <c r="K163" s="201"/>
      <c r="L163" s="381" t="str">
        <f>IF(AND(ISNUMBER(C163),ISNUMBER(D163),ISNUMBER(E163),ISNUMBER(F163),ISNUMBER(I163)),SUM(C163:F163)*I163,"")</f>
        <v/>
      </c>
      <c r="M163" s="39"/>
      <c r="N163" s="194" t="str">
        <f>L163</f>
        <v/>
      </c>
      <c r="O163" s="155"/>
      <c r="P163" s="355">
        <f t="shared" si="8"/>
        <v>0</v>
      </c>
    </row>
    <row r="164" spans="1:16" s="156" customFormat="1" ht="15" customHeight="1" x14ac:dyDescent="0.2">
      <c r="A164" s="484"/>
      <c r="B164" s="486" t="s">
        <v>587</v>
      </c>
      <c r="C164" s="406"/>
      <c r="D164" s="406"/>
      <c r="E164" s="406"/>
      <c r="F164" s="406"/>
      <c r="G164" s="39"/>
      <c r="H164" s="201"/>
      <c r="I164" s="408">
        <v>0.65</v>
      </c>
      <c r="J164" s="39"/>
      <c r="K164" s="201"/>
      <c r="L164" s="381" t="str">
        <f>IF(AND(ISNUMBER(C164),ISNUMBER(D164),ISNUMBER(E164),ISNUMBER(F164),ISNUMBER(I164)),SUM(C164:F164)*I164,"")</f>
        <v/>
      </c>
      <c r="M164" s="39"/>
      <c r="N164" s="194" t="str">
        <f>L164</f>
        <v/>
      </c>
      <c r="O164" s="155"/>
      <c r="P164" s="355">
        <f t="shared" si="8"/>
        <v>0</v>
      </c>
    </row>
    <row r="165" spans="1:16" s="156" customFormat="1" ht="15" customHeight="1" x14ac:dyDescent="0.2">
      <c r="A165" s="484"/>
      <c r="B165" s="486" t="s">
        <v>588</v>
      </c>
      <c r="C165" s="406"/>
      <c r="D165" s="406"/>
      <c r="E165" s="406"/>
      <c r="F165" s="406"/>
      <c r="G165" s="39"/>
      <c r="H165" s="201"/>
      <c r="I165" s="408">
        <v>1</v>
      </c>
      <c r="J165" s="39"/>
      <c r="K165" s="201"/>
      <c r="L165" s="381" t="str">
        <f>IF(AND(ISNUMBER(C165),ISNUMBER(D165),ISNUMBER(E165),ISNUMBER(F165),ISNUMBER(I165)),SUM(C165:F165)*I165,"")</f>
        <v/>
      </c>
      <c r="M165" s="39"/>
      <c r="N165" s="194" t="str">
        <f>L165</f>
        <v/>
      </c>
      <c r="O165" s="155"/>
      <c r="P165" s="355">
        <f t="shared" si="8"/>
        <v>0</v>
      </c>
    </row>
    <row r="166" spans="1:16" s="156" customFormat="1" ht="30" customHeight="1" x14ac:dyDescent="0.2">
      <c r="A166" s="484"/>
      <c r="B166" s="380" t="str">
        <f>CONCATENATE("Check: sum of rows ", ROW(B161), " to ", ROW(B165), " for each column should equal the corresponding column in row ", ROW(B160))</f>
        <v>Check: sum of rows 161 to 165 for each column should equal the corresponding column in row 160</v>
      </c>
      <c r="C166" s="495" t="str">
        <f>IF(SUM(C161:C165)=C160,"Pass","Fail")</f>
        <v>Pass</v>
      </c>
      <c r="D166" s="495" t="str">
        <f>IF(SUM(D161:D165)=D160,"Pass","Fail")</f>
        <v>Pass</v>
      </c>
      <c r="E166" s="495" t="str">
        <f>IF(SUM(E161:E165)=E160,"Pass","Fail")</f>
        <v>Pass</v>
      </c>
      <c r="F166" s="495" t="str">
        <f>IF(SUM(F161:F165)=F160,"Pass","Fail")</f>
        <v>Pass</v>
      </c>
      <c r="G166" s="39"/>
      <c r="H166" s="201"/>
      <c r="I166" s="487"/>
      <c r="J166" s="39"/>
      <c r="K166" s="201"/>
      <c r="L166" s="248"/>
      <c r="M166" s="39"/>
      <c r="N166" s="248"/>
      <c r="O166" s="155"/>
      <c r="P166" s="355">
        <f t="shared" si="8"/>
        <v>0</v>
      </c>
    </row>
    <row r="167" spans="1:16" ht="45" customHeight="1" x14ac:dyDescent="0.2">
      <c r="A167" s="337"/>
      <c r="B167" s="357" t="s">
        <v>524</v>
      </c>
      <c r="C167" s="593"/>
      <c r="D167" s="594"/>
      <c r="E167" s="594"/>
      <c r="F167" s="594"/>
      <c r="G167" s="592"/>
      <c r="H167" s="74"/>
      <c r="I167" s="603"/>
      <c r="J167" s="578"/>
      <c r="K167" s="74"/>
      <c r="L167" s="595"/>
      <c r="M167" s="596"/>
      <c r="N167" s="597"/>
      <c r="O167" s="462"/>
      <c r="P167" s="355">
        <f t="shared" si="8"/>
        <v>0</v>
      </c>
    </row>
    <row r="168" spans="1:16" ht="15" customHeight="1" x14ac:dyDescent="0.2">
      <c r="A168" s="337"/>
      <c r="B168" s="251" t="s">
        <v>734</v>
      </c>
      <c r="C168" s="338"/>
      <c r="D168" s="338"/>
      <c r="E168" s="338"/>
      <c r="F168" s="338"/>
      <c r="G168" s="343"/>
      <c r="H168" s="344"/>
      <c r="I168" s="261"/>
      <c r="J168" s="340">
        <v>0.65</v>
      </c>
      <c r="K168" s="74"/>
      <c r="L168" s="248"/>
      <c r="M168" s="362" t="str">
        <f>IF(AND(ISNUMBER(G168),ISNUMBER(J168)),G168*J168,"")</f>
        <v/>
      </c>
      <c r="N168" s="341" t="str">
        <f>M168</f>
        <v/>
      </c>
      <c r="O168" s="462"/>
      <c r="P168" s="355">
        <f t="shared" si="8"/>
        <v>0</v>
      </c>
    </row>
    <row r="169" spans="1:16" ht="15" customHeight="1" x14ac:dyDescent="0.2">
      <c r="A169" s="337"/>
      <c r="B169" s="251" t="s">
        <v>735</v>
      </c>
      <c r="C169" s="338"/>
      <c r="D169" s="338"/>
      <c r="E169" s="338"/>
      <c r="F169" s="338"/>
      <c r="G169" s="343"/>
      <c r="H169" s="344"/>
      <c r="I169" s="261"/>
      <c r="J169" s="261"/>
      <c r="K169" s="74"/>
      <c r="L169" s="248"/>
      <c r="M169" s="248"/>
      <c r="N169" s="248"/>
      <c r="O169" s="462"/>
      <c r="P169" s="355">
        <f t="shared" si="8"/>
        <v>0</v>
      </c>
    </row>
    <row r="170" spans="1:16" ht="15" customHeight="1" x14ac:dyDescent="0.2">
      <c r="A170" s="337"/>
      <c r="B170" s="359" t="s">
        <v>264</v>
      </c>
      <c r="C170" s="338"/>
      <c r="D170" s="338"/>
      <c r="E170" s="338"/>
      <c r="F170" s="338"/>
      <c r="G170" s="343"/>
      <c r="H170" s="74"/>
      <c r="I170" s="261"/>
      <c r="J170" s="340">
        <v>0.65</v>
      </c>
      <c r="K170" s="74"/>
      <c r="L170" s="248"/>
      <c r="M170" s="362" t="str">
        <f>IF(AND(ISNUMBER(G170),ISNUMBER(J170)),G170*J170,"")</f>
        <v/>
      </c>
      <c r="N170" s="341" t="str">
        <f>M170</f>
        <v/>
      </c>
      <c r="O170" s="462"/>
      <c r="P170" s="355">
        <f t="shared" si="8"/>
        <v>0</v>
      </c>
    </row>
    <row r="171" spans="1:16" ht="15" customHeight="1" x14ac:dyDescent="0.2">
      <c r="A171" s="337"/>
      <c r="B171" s="359" t="s">
        <v>265</v>
      </c>
      <c r="C171" s="338"/>
      <c r="D171" s="338"/>
      <c r="E171" s="338"/>
      <c r="F171" s="338"/>
      <c r="G171" s="343"/>
      <c r="H171" s="74"/>
      <c r="I171" s="261"/>
      <c r="J171" s="340">
        <v>0.65</v>
      </c>
      <c r="K171" s="74"/>
      <c r="L171" s="248"/>
      <c r="M171" s="362" t="str">
        <f>IF(AND(ISNUMBER(G171),ISNUMBER(J171)),G171*J171,"")</f>
        <v/>
      </c>
      <c r="N171" s="341" t="str">
        <f>M171</f>
        <v/>
      </c>
      <c r="O171" s="462"/>
      <c r="P171" s="355">
        <f t="shared" si="8"/>
        <v>0</v>
      </c>
    </row>
    <row r="172" spans="1:16" ht="15" customHeight="1" x14ac:dyDescent="0.2">
      <c r="A172" s="337"/>
      <c r="B172" s="359" t="s">
        <v>736</v>
      </c>
      <c r="C172" s="338"/>
      <c r="D172" s="338"/>
      <c r="E172" s="338"/>
      <c r="F172" s="338"/>
      <c r="G172" s="343"/>
      <c r="H172" s="74"/>
      <c r="I172" s="261"/>
      <c r="J172" s="340">
        <v>0.65</v>
      </c>
      <c r="K172" s="74"/>
      <c r="L172" s="248"/>
      <c r="M172" s="362" t="str">
        <f>IF(AND(ISNUMBER(G172),ISNUMBER(J172)),G172*J172,"")</f>
        <v/>
      </c>
      <c r="N172" s="341" t="str">
        <f>M172</f>
        <v/>
      </c>
      <c r="O172" s="462"/>
      <c r="P172" s="355">
        <f t="shared" si="8"/>
        <v>0</v>
      </c>
    </row>
    <row r="173" spans="1:16" ht="15" customHeight="1" x14ac:dyDescent="0.2">
      <c r="A173" s="337"/>
      <c r="B173" s="359" t="s">
        <v>263</v>
      </c>
      <c r="C173" s="338"/>
      <c r="D173" s="338"/>
      <c r="E173" s="338"/>
      <c r="F173" s="338"/>
      <c r="G173" s="343"/>
      <c r="H173" s="74"/>
      <c r="I173" s="261"/>
      <c r="J173" s="340">
        <v>0.65</v>
      </c>
      <c r="K173" s="74"/>
      <c r="L173" s="248"/>
      <c r="M173" s="362" t="str">
        <f>IF(AND(ISNUMBER(G173),ISNUMBER(J173)),G173*J173,"")</f>
        <v/>
      </c>
      <c r="N173" s="341" t="str">
        <f>M173</f>
        <v/>
      </c>
      <c r="O173" s="462"/>
      <c r="P173" s="355">
        <f t="shared" si="8"/>
        <v>0</v>
      </c>
    </row>
    <row r="174" spans="1:16" ht="15" customHeight="1" x14ac:dyDescent="0.2">
      <c r="A174" s="337"/>
      <c r="B174" s="359" t="s">
        <v>262</v>
      </c>
      <c r="C174" s="338"/>
      <c r="D174" s="338"/>
      <c r="E174" s="338"/>
      <c r="F174" s="338"/>
      <c r="G174" s="343"/>
      <c r="H174" s="74"/>
      <c r="I174" s="261"/>
      <c r="J174" s="340">
        <v>1</v>
      </c>
      <c r="K174" s="74"/>
      <c r="L174" s="248"/>
      <c r="M174" s="362" t="str">
        <f>IF(AND(ISNUMBER(G174),ISNUMBER(J174)),G174*J174,"")</f>
        <v/>
      </c>
      <c r="N174" s="341" t="str">
        <f>M174</f>
        <v/>
      </c>
      <c r="O174" s="462"/>
      <c r="P174" s="355">
        <f t="shared" si="8"/>
        <v>0</v>
      </c>
    </row>
    <row r="175" spans="1:16" ht="30" customHeight="1" x14ac:dyDescent="0.2">
      <c r="A175" s="337"/>
      <c r="B175" s="380" t="str">
        <f>CONCATENATE("Check: sum of rows ", ROW(B170), " to ", ROW(B174), " for each column should equal the corresponding column in row ", ROW(B169))</f>
        <v>Check: sum of rows 170 to 174 for each column should equal the corresponding column in row 169</v>
      </c>
      <c r="C175" s="338"/>
      <c r="D175" s="338"/>
      <c r="E175" s="338"/>
      <c r="F175" s="338"/>
      <c r="G175" s="495" t="str">
        <f>IF(SUM(G170:G174)=G169,"Pass","Fail")</f>
        <v>Pass</v>
      </c>
      <c r="H175" s="74"/>
      <c r="I175" s="350"/>
      <c r="J175" s="350"/>
      <c r="K175" s="74"/>
      <c r="L175" s="248"/>
      <c r="M175" s="248"/>
      <c r="N175" s="248"/>
      <c r="O175" s="462"/>
      <c r="P175" s="355">
        <f t="shared" si="8"/>
        <v>0</v>
      </c>
    </row>
    <row r="176" spans="1:16" ht="30" customHeight="1" x14ac:dyDescent="0.2">
      <c r="A176" s="337"/>
      <c r="B176" s="483" t="s">
        <v>589</v>
      </c>
      <c r="C176" s="593"/>
      <c r="D176" s="594"/>
      <c r="E176" s="594"/>
      <c r="F176" s="594"/>
      <c r="G176" s="592"/>
      <c r="H176" s="74"/>
      <c r="I176" s="603"/>
      <c r="J176" s="578"/>
      <c r="K176" s="74"/>
      <c r="L176" s="595"/>
      <c r="M176" s="596"/>
      <c r="N176" s="597"/>
      <c r="O176" s="462"/>
      <c r="P176" s="355">
        <f t="shared" si="8"/>
        <v>0</v>
      </c>
    </row>
    <row r="177" spans="1:21" ht="15" customHeight="1" x14ac:dyDescent="0.2">
      <c r="A177" s="337"/>
      <c r="B177" s="251" t="s">
        <v>734</v>
      </c>
      <c r="C177" s="343"/>
      <c r="D177" s="343"/>
      <c r="E177" s="343"/>
      <c r="F177" s="343"/>
      <c r="G177" s="338"/>
      <c r="H177" s="344"/>
      <c r="I177" s="347">
        <v>0.85</v>
      </c>
      <c r="J177" s="261"/>
      <c r="K177" s="74"/>
      <c r="L177" s="358" t="str">
        <f t="shared" si="9"/>
        <v/>
      </c>
      <c r="M177" s="248"/>
      <c r="N177" s="341" t="str">
        <f>L177</f>
        <v/>
      </c>
      <c r="O177" s="462"/>
      <c r="P177" s="355">
        <f t="shared" ref="P177:P203" si="10">IF(ISNUMBER(N177),1,0)</f>
        <v>0</v>
      </c>
    </row>
    <row r="178" spans="1:21" ht="15" customHeight="1" x14ac:dyDescent="0.2">
      <c r="A178" s="337"/>
      <c r="B178" s="251" t="s">
        <v>735</v>
      </c>
      <c r="C178" s="343"/>
      <c r="D178" s="343"/>
      <c r="E178" s="343"/>
      <c r="F178" s="343"/>
      <c r="G178" s="338"/>
      <c r="H178" s="344"/>
      <c r="I178" s="603"/>
      <c r="J178" s="578"/>
      <c r="K178" s="74"/>
      <c r="L178" s="595"/>
      <c r="M178" s="596"/>
      <c r="N178" s="597"/>
      <c r="O178" s="462"/>
      <c r="P178" s="355">
        <f t="shared" si="10"/>
        <v>0</v>
      </c>
    </row>
    <row r="179" spans="1:21" ht="15" customHeight="1" x14ac:dyDescent="0.2">
      <c r="A179" s="337"/>
      <c r="B179" s="359" t="s">
        <v>264</v>
      </c>
      <c r="C179" s="343"/>
      <c r="D179" s="343"/>
      <c r="E179" s="343"/>
      <c r="F179" s="343"/>
      <c r="G179" s="338"/>
      <c r="H179" s="74"/>
      <c r="I179" s="340">
        <v>0.85</v>
      </c>
      <c r="J179" s="261"/>
      <c r="K179" s="74"/>
      <c r="L179" s="358" t="str">
        <f t="shared" si="9"/>
        <v/>
      </c>
      <c r="M179" s="248"/>
      <c r="N179" s="341" t="str">
        <f>L179</f>
        <v/>
      </c>
      <c r="O179" s="462"/>
      <c r="P179" s="355">
        <f t="shared" si="10"/>
        <v>0</v>
      </c>
    </row>
    <row r="180" spans="1:21" ht="15" customHeight="1" x14ac:dyDescent="0.2">
      <c r="A180" s="337"/>
      <c r="B180" s="359" t="s">
        <v>265</v>
      </c>
      <c r="C180" s="343"/>
      <c r="D180" s="343"/>
      <c r="E180" s="343"/>
      <c r="F180" s="343"/>
      <c r="G180" s="338"/>
      <c r="H180" s="74"/>
      <c r="I180" s="340">
        <v>0.85</v>
      </c>
      <c r="J180" s="261"/>
      <c r="K180" s="74"/>
      <c r="L180" s="358" t="str">
        <f t="shared" si="9"/>
        <v/>
      </c>
      <c r="M180" s="248"/>
      <c r="N180" s="341" t="str">
        <f>L180</f>
        <v/>
      </c>
      <c r="O180" s="462"/>
      <c r="P180" s="355">
        <f t="shared" si="10"/>
        <v>0</v>
      </c>
    </row>
    <row r="181" spans="1:21" ht="15" customHeight="1" x14ac:dyDescent="0.2">
      <c r="A181" s="337"/>
      <c r="B181" s="359" t="s">
        <v>736</v>
      </c>
      <c r="C181" s="343"/>
      <c r="D181" s="343"/>
      <c r="E181" s="343"/>
      <c r="F181" s="343"/>
      <c r="G181" s="338"/>
      <c r="H181" s="74"/>
      <c r="I181" s="340">
        <v>0.85</v>
      </c>
      <c r="J181" s="261"/>
      <c r="K181" s="74"/>
      <c r="L181" s="358" t="str">
        <f t="shared" si="9"/>
        <v/>
      </c>
      <c r="M181" s="248"/>
      <c r="N181" s="341" t="str">
        <f>L181</f>
        <v/>
      </c>
      <c r="O181" s="462"/>
      <c r="P181" s="355">
        <f t="shared" si="10"/>
        <v>0</v>
      </c>
    </row>
    <row r="182" spans="1:21" ht="15" customHeight="1" x14ac:dyDescent="0.2">
      <c r="A182" s="337"/>
      <c r="B182" s="359" t="s">
        <v>263</v>
      </c>
      <c r="C182" s="343"/>
      <c r="D182" s="343"/>
      <c r="E182" s="343"/>
      <c r="F182" s="343"/>
      <c r="G182" s="338"/>
      <c r="H182" s="74"/>
      <c r="I182" s="340">
        <v>0.85</v>
      </c>
      <c r="J182" s="261"/>
      <c r="K182" s="74"/>
      <c r="L182" s="358" t="str">
        <f t="shared" si="9"/>
        <v/>
      </c>
      <c r="M182" s="248"/>
      <c r="N182" s="341" t="str">
        <f>L182</f>
        <v/>
      </c>
      <c r="O182" s="462"/>
      <c r="P182" s="355">
        <f t="shared" si="10"/>
        <v>0</v>
      </c>
    </row>
    <row r="183" spans="1:21" ht="15" customHeight="1" x14ac:dyDescent="0.2">
      <c r="A183" s="337"/>
      <c r="B183" s="359" t="s">
        <v>262</v>
      </c>
      <c r="C183" s="343"/>
      <c r="D183" s="343"/>
      <c r="E183" s="343"/>
      <c r="F183" s="343"/>
      <c r="G183" s="338"/>
      <c r="H183" s="74"/>
      <c r="I183" s="340">
        <v>1</v>
      </c>
      <c r="J183" s="261"/>
      <c r="K183" s="74"/>
      <c r="L183" s="358" t="str">
        <f t="shared" si="9"/>
        <v/>
      </c>
      <c r="M183" s="248"/>
      <c r="N183" s="341" t="str">
        <f>L183</f>
        <v/>
      </c>
      <c r="O183" s="462"/>
      <c r="P183" s="355">
        <f t="shared" si="10"/>
        <v>0</v>
      </c>
    </row>
    <row r="184" spans="1:21" ht="30" customHeight="1" x14ac:dyDescent="0.2">
      <c r="A184" s="337"/>
      <c r="B184" s="380" t="str">
        <f>CONCATENATE("Check: sum of rows ", ROW(B179), " to ", ROW(B183), " for each column should equal the corresponding column in row ", ROW(B178))</f>
        <v>Check: sum of rows 179 to 183 for each column should equal the corresponding column in row 178</v>
      </c>
      <c r="C184" s="495" t="str">
        <f>IF(SUM(C179:C183)=C178,"Pass","Fail")</f>
        <v>Pass</v>
      </c>
      <c r="D184" s="495" t="str">
        <f>IF(SUM(D179:D183)=D178,"Pass","Fail")</f>
        <v>Pass</v>
      </c>
      <c r="E184" s="495" t="str">
        <f>IF(SUM(E179:E183)=E178,"Pass","Fail")</f>
        <v>Pass</v>
      </c>
      <c r="F184" s="495" t="str">
        <f>IF(SUM(F179:F183)=F178,"Pass","Fail")</f>
        <v>Pass</v>
      </c>
      <c r="G184" s="338"/>
      <c r="H184" s="74"/>
      <c r="I184" s="600"/>
      <c r="J184" s="601"/>
      <c r="K184" s="74"/>
      <c r="L184" s="598"/>
      <c r="M184" s="596"/>
      <c r="N184" s="597"/>
      <c r="O184" s="462"/>
      <c r="P184" s="355">
        <f t="shared" si="10"/>
        <v>0</v>
      </c>
    </row>
    <row r="185" spans="1:21" s="336" customFormat="1" ht="15" customHeight="1" x14ac:dyDescent="0.2">
      <c r="A185" s="337"/>
      <c r="B185" s="365" t="s">
        <v>526</v>
      </c>
      <c r="C185" s="338"/>
      <c r="D185" s="338"/>
      <c r="E185" s="338"/>
      <c r="F185" s="338"/>
      <c r="G185" s="339"/>
      <c r="H185" s="74"/>
      <c r="I185" s="261"/>
      <c r="J185" s="340">
        <v>1</v>
      </c>
      <c r="K185" s="74"/>
      <c r="L185" s="248"/>
      <c r="M185" s="381" t="str">
        <f>IF(AND(ISNUMBER(G185),ISNUMBER(G39),ISNUMBER(J185)),MAX((G185-G39),0)*J185,"")</f>
        <v/>
      </c>
      <c r="N185" s="358" t="str">
        <f>M185</f>
        <v/>
      </c>
      <c r="O185" s="461"/>
      <c r="P185" s="355">
        <f t="shared" si="10"/>
        <v>0</v>
      </c>
    </row>
    <row r="186" spans="1:21" s="336" customFormat="1" ht="15" customHeight="1" x14ac:dyDescent="0.2">
      <c r="A186" s="337"/>
      <c r="B186" s="164" t="s">
        <v>355</v>
      </c>
      <c r="C186" s="338"/>
      <c r="D186" s="338"/>
      <c r="E186" s="338"/>
      <c r="F186" s="338"/>
      <c r="G186" s="339"/>
      <c r="H186" s="74"/>
      <c r="I186" s="261"/>
      <c r="J186" s="340">
        <v>0</v>
      </c>
      <c r="K186" s="74"/>
      <c r="L186" s="248"/>
      <c r="M186" s="358" t="str">
        <f>IF(AND(ISNUMBER(G186),ISNUMBER(J186)),G186*J186,"")</f>
        <v/>
      </c>
      <c r="N186" s="358" t="str">
        <f>M186</f>
        <v/>
      </c>
      <c r="O186" s="461"/>
      <c r="P186" s="355">
        <f t="shared" si="10"/>
        <v>0</v>
      </c>
    </row>
    <row r="187" spans="1:21" s="336" customFormat="1" ht="15" customHeight="1" x14ac:dyDescent="0.2">
      <c r="A187" s="337"/>
      <c r="B187" s="365" t="s">
        <v>765</v>
      </c>
      <c r="C187" s="343"/>
      <c r="D187" s="343"/>
      <c r="E187" s="343"/>
      <c r="F187" s="343"/>
      <c r="G187" s="339"/>
      <c r="H187" s="74"/>
      <c r="I187" s="340">
        <v>1</v>
      </c>
      <c r="J187" s="340">
        <v>1</v>
      </c>
      <c r="K187" s="74"/>
      <c r="L187" s="358" t="str">
        <f>IF(AND(ISNUMBER(C187),ISNUMBER(D187),ISNUMBER(E187),ISNUMBER(F187),ISNUMBER(I187)),SUM(C187:F187)*I187,"")</f>
        <v/>
      </c>
      <c r="M187" s="358" t="str">
        <f>IF(AND(ISNUMBER(G187),ISNUMBER(J187)),G187*J187,"")</f>
        <v/>
      </c>
      <c r="N187" s="358" t="str">
        <f>IF(AND(ISNUMBER(L187),ISNUMBER(M187)),SUM(L187:M187),"")</f>
        <v/>
      </c>
      <c r="O187" s="461"/>
      <c r="P187" s="355">
        <f t="shared" si="10"/>
        <v>0</v>
      </c>
      <c r="Q187" s="732"/>
    </row>
    <row r="188" spans="1:21" s="336" customFormat="1" ht="45" customHeight="1" x14ac:dyDescent="0.25">
      <c r="A188" s="44" t="s">
        <v>488</v>
      </c>
      <c r="B188" s="81"/>
      <c r="C188" s="82"/>
      <c r="D188" s="82"/>
      <c r="E188" s="356"/>
      <c r="F188" s="74"/>
      <c r="G188" s="74"/>
      <c r="H188" s="74"/>
      <c r="I188" s="74"/>
      <c r="J188" s="74"/>
      <c r="K188" s="74"/>
      <c r="L188" s="74"/>
      <c r="M188" s="74"/>
      <c r="N188" s="74"/>
      <c r="O188" s="461"/>
      <c r="P188" s="355">
        <f t="shared" si="10"/>
        <v>0</v>
      </c>
      <c r="Q188" s="74"/>
      <c r="R188" s="74"/>
      <c r="S188" s="74"/>
      <c r="T188" s="74"/>
      <c r="U188" s="74"/>
    </row>
    <row r="189" spans="1:21" s="336" customFormat="1" ht="15" customHeight="1" x14ac:dyDescent="0.2">
      <c r="A189" s="366"/>
      <c r="B189" s="74"/>
      <c r="C189" s="74"/>
      <c r="D189" s="74"/>
      <c r="E189" s="74"/>
      <c r="F189" s="74"/>
      <c r="G189" s="74"/>
      <c r="H189" s="74"/>
      <c r="I189" s="74"/>
      <c r="J189" s="74"/>
      <c r="K189" s="74"/>
      <c r="L189" s="74"/>
      <c r="M189" s="74"/>
      <c r="N189" s="74"/>
      <c r="O189" s="461"/>
      <c r="P189" s="355">
        <f t="shared" si="10"/>
        <v>0</v>
      </c>
    </row>
    <row r="190" spans="1:21" ht="30" customHeight="1" x14ac:dyDescent="0.2">
      <c r="A190" s="337"/>
      <c r="B190" s="367"/>
      <c r="C190" s="260" t="s">
        <v>643</v>
      </c>
      <c r="D190" s="74"/>
      <c r="E190" s="74"/>
      <c r="F190" s="74"/>
      <c r="G190" s="74"/>
      <c r="H190" s="74"/>
      <c r="I190" s="260" t="s">
        <v>769</v>
      </c>
      <c r="K190" s="74"/>
      <c r="L190" s="250"/>
      <c r="M190" s="250"/>
      <c r="N190" s="250" t="s">
        <v>728</v>
      </c>
      <c r="O190" s="462"/>
      <c r="P190" s="355">
        <f t="shared" si="10"/>
        <v>0</v>
      </c>
    </row>
    <row r="191" spans="1:21" ht="15" customHeight="1" x14ac:dyDescent="0.2">
      <c r="A191" s="337"/>
      <c r="B191" s="489" t="s">
        <v>1054</v>
      </c>
      <c r="C191" s="368"/>
      <c r="D191" s="74"/>
      <c r="E191" s="336"/>
      <c r="F191" s="74"/>
      <c r="G191" s="74"/>
      <c r="H191" s="74"/>
      <c r="I191" s="408">
        <v>0.05</v>
      </c>
      <c r="K191" s="74"/>
      <c r="L191" s="369"/>
      <c r="M191" s="261"/>
      <c r="N191" s="370" t="str">
        <f>IF(AND(ISNUMBER(C191),ISNUMBER(I191)),SUM(C191)*I191,"")</f>
        <v/>
      </c>
      <c r="O191" s="462"/>
      <c r="P191" s="355">
        <f t="shared" si="10"/>
        <v>0</v>
      </c>
      <c r="Q191" s="732"/>
    </row>
    <row r="192" spans="1:21" ht="15" customHeight="1" x14ac:dyDescent="0.2">
      <c r="A192" s="337"/>
      <c r="B192" s="754" t="s">
        <v>1055</v>
      </c>
      <c r="C192" s="368"/>
      <c r="D192" s="74"/>
      <c r="E192" s="336"/>
      <c r="F192" s="74"/>
      <c r="G192" s="74"/>
      <c r="H192" s="74"/>
      <c r="I192" s="408">
        <v>0.05</v>
      </c>
      <c r="K192" s="74"/>
      <c r="L192" s="369"/>
      <c r="M192" s="261"/>
      <c r="N192" s="370" t="str">
        <f>IF(AND(ISNUMBER(C192),ISNUMBER(I192)),SUM(C192)*I192,"")</f>
        <v/>
      </c>
      <c r="O192" s="462"/>
      <c r="P192" s="355">
        <f t="shared" si="10"/>
        <v>0</v>
      </c>
      <c r="Q192" s="732"/>
    </row>
    <row r="193" spans="1:17" ht="15" customHeight="1" x14ac:dyDescent="0.2">
      <c r="A193" s="337"/>
      <c r="B193" s="754" t="s">
        <v>1056</v>
      </c>
      <c r="C193" s="368"/>
      <c r="D193" s="74"/>
      <c r="E193" s="74"/>
      <c r="F193" s="74"/>
      <c r="G193" s="74"/>
      <c r="H193" s="74"/>
      <c r="I193" s="408">
        <f>Parameters!E77</f>
        <v>0</v>
      </c>
      <c r="K193" s="74"/>
      <c r="L193" s="369"/>
      <c r="M193" s="261"/>
      <c r="N193" s="370" t="str">
        <f>IF(AND(ISNUMBER(C193),ISNUMBER(I193)),SUM(C193)*I193,"")</f>
        <v/>
      </c>
      <c r="O193" s="462"/>
      <c r="P193" s="355">
        <f t="shared" si="10"/>
        <v>0</v>
      </c>
      <c r="Q193" s="732"/>
    </row>
    <row r="194" spans="1:17" ht="15" customHeight="1" x14ac:dyDescent="0.2">
      <c r="A194" s="337"/>
      <c r="B194" s="754" t="s">
        <v>1057</v>
      </c>
      <c r="C194" s="368"/>
      <c r="D194" s="74"/>
      <c r="E194" s="74"/>
      <c r="F194" s="74"/>
      <c r="G194" s="74"/>
      <c r="H194" s="74"/>
      <c r="I194" s="408">
        <f>Parameters!E78</f>
        <v>0</v>
      </c>
      <c r="K194" s="74"/>
      <c r="L194" s="369"/>
      <c r="M194" s="261"/>
      <c r="N194" s="370" t="str">
        <f>IF(AND(ISNUMBER(C194),ISNUMBER(I194)),SUM(C194)*I194,"")</f>
        <v/>
      </c>
      <c r="O194" s="462"/>
      <c r="P194" s="355">
        <f t="shared" si="10"/>
        <v>0</v>
      </c>
      <c r="Q194" s="732"/>
    </row>
    <row r="195" spans="1:17" ht="15" customHeight="1" x14ac:dyDescent="0.2">
      <c r="A195" s="337"/>
      <c r="B195" s="452" t="s">
        <v>529</v>
      </c>
      <c r="C195" s="368"/>
      <c r="D195" s="74"/>
      <c r="E195" s="74"/>
      <c r="F195" s="74"/>
      <c r="G195" s="74"/>
      <c r="H195" s="74"/>
      <c r="I195" s="340">
        <f>Parameters!E79</f>
        <v>0</v>
      </c>
      <c r="K195" s="74"/>
      <c r="L195" s="369"/>
      <c r="M195" s="261"/>
      <c r="N195" s="370" t="str">
        <f>IF(AND(ISNUMBER(C195),ISNUMBER(I195)),SUM(C195)*I195,"")</f>
        <v/>
      </c>
      <c r="O195" s="462"/>
      <c r="P195" s="355">
        <f t="shared" si="10"/>
        <v>0</v>
      </c>
    </row>
    <row r="196" spans="1:17" ht="15" customHeight="1" x14ac:dyDescent="0.2">
      <c r="A196" s="337"/>
      <c r="B196" s="452" t="s">
        <v>530</v>
      </c>
      <c r="C196" s="368"/>
      <c r="D196" s="74"/>
      <c r="E196" s="74"/>
      <c r="F196" s="74"/>
      <c r="G196" s="74"/>
      <c r="H196" s="74"/>
      <c r="I196" s="340">
        <f>Parameters!E80</f>
        <v>0</v>
      </c>
      <c r="K196" s="74"/>
      <c r="L196" s="369"/>
      <c r="M196" s="261"/>
      <c r="N196" s="370" t="str">
        <f t="shared" ref="N196:N201" si="11">IF(AND(ISNUMBER(C196),ISNUMBER(I196)),SUM(C196)*I196,"")</f>
        <v/>
      </c>
      <c r="O196" s="462"/>
      <c r="P196" s="355">
        <f t="shared" si="10"/>
        <v>0</v>
      </c>
    </row>
    <row r="197" spans="1:17" ht="15" customHeight="1" x14ac:dyDescent="0.2">
      <c r="A197" s="337"/>
      <c r="B197" s="452" t="s">
        <v>531</v>
      </c>
      <c r="C197" s="368"/>
      <c r="D197" s="74"/>
      <c r="E197" s="74"/>
      <c r="F197" s="74"/>
      <c r="G197" s="74"/>
      <c r="H197" s="74"/>
      <c r="I197" s="340">
        <f>Parameters!E81</f>
        <v>0</v>
      </c>
      <c r="K197" s="74"/>
      <c r="L197" s="369"/>
      <c r="M197" s="261"/>
      <c r="N197" s="370" t="str">
        <f t="shared" si="11"/>
        <v/>
      </c>
      <c r="O197" s="462"/>
      <c r="P197" s="355">
        <f t="shared" si="10"/>
        <v>0</v>
      </c>
    </row>
    <row r="198" spans="1:17" ht="15" customHeight="1" x14ac:dyDescent="0.2">
      <c r="A198" s="337"/>
      <c r="B198" s="452" t="s">
        <v>770</v>
      </c>
      <c r="C198" s="261"/>
      <c r="D198" s="74"/>
      <c r="E198" s="74"/>
      <c r="F198" s="74"/>
      <c r="G198" s="74"/>
      <c r="H198" s="74"/>
      <c r="I198" s="261"/>
      <c r="K198" s="74"/>
      <c r="L198" s="369"/>
      <c r="M198" s="261"/>
      <c r="N198" s="261"/>
      <c r="O198" s="462"/>
      <c r="P198" s="355">
        <f t="shared" si="10"/>
        <v>0</v>
      </c>
    </row>
    <row r="199" spans="1:17" ht="15" customHeight="1" x14ac:dyDescent="0.2">
      <c r="A199" s="337"/>
      <c r="B199" s="453" t="s">
        <v>527</v>
      </c>
      <c r="C199" s="368"/>
      <c r="D199" s="74"/>
      <c r="E199" s="74"/>
      <c r="F199" s="74"/>
      <c r="G199" s="74"/>
      <c r="H199" s="74"/>
      <c r="I199" s="340">
        <f>Parameters!E83</f>
        <v>0</v>
      </c>
      <c r="K199" s="74"/>
      <c r="L199" s="369"/>
      <c r="M199" s="261"/>
      <c r="N199" s="370" t="str">
        <f t="shared" si="11"/>
        <v/>
      </c>
      <c r="O199" s="462"/>
      <c r="P199" s="355">
        <f t="shared" si="10"/>
        <v>0</v>
      </c>
    </row>
    <row r="200" spans="1:17" ht="15" customHeight="1" x14ac:dyDescent="0.2">
      <c r="A200" s="337"/>
      <c r="B200" s="453" t="s">
        <v>13</v>
      </c>
      <c r="C200" s="368"/>
      <c r="D200" s="74"/>
      <c r="E200" s="74"/>
      <c r="F200" s="74"/>
      <c r="G200" s="74"/>
      <c r="H200" s="74"/>
      <c r="I200" s="340">
        <f>Parameters!E84</f>
        <v>0</v>
      </c>
      <c r="K200" s="74"/>
      <c r="L200" s="369"/>
      <c r="M200" s="261"/>
      <c r="N200" s="370" t="str">
        <f t="shared" si="11"/>
        <v/>
      </c>
      <c r="O200" s="462"/>
      <c r="P200" s="355">
        <f t="shared" si="10"/>
        <v>0</v>
      </c>
    </row>
    <row r="201" spans="1:17" ht="15" customHeight="1" x14ac:dyDescent="0.2">
      <c r="A201" s="337"/>
      <c r="B201" s="453" t="s">
        <v>771</v>
      </c>
      <c r="C201" s="368"/>
      <c r="D201" s="74"/>
      <c r="E201" s="74"/>
      <c r="F201" s="74"/>
      <c r="G201" s="74"/>
      <c r="H201" s="74"/>
      <c r="I201" s="340">
        <f>Parameters!E85</f>
        <v>0</v>
      </c>
      <c r="K201" s="74"/>
      <c r="L201" s="369"/>
      <c r="M201" s="261"/>
      <c r="N201" s="370" t="str">
        <f t="shared" si="11"/>
        <v/>
      </c>
      <c r="O201" s="462"/>
      <c r="P201" s="355">
        <f t="shared" si="10"/>
        <v>0</v>
      </c>
    </row>
    <row r="202" spans="1:17" ht="15" customHeight="1" x14ac:dyDescent="0.2">
      <c r="A202" s="337"/>
      <c r="B202" s="453" t="s">
        <v>14</v>
      </c>
      <c r="C202" s="368"/>
      <c r="D202" s="74"/>
      <c r="E202" s="74"/>
      <c r="F202" s="74"/>
      <c r="G202" s="74"/>
      <c r="H202" s="74"/>
      <c r="I202" s="340">
        <f>Parameters!E86</f>
        <v>0</v>
      </c>
      <c r="K202" s="74"/>
      <c r="L202" s="369"/>
      <c r="M202" s="261"/>
      <c r="N202" s="370" t="str">
        <f>IF(AND(ISNUMBER(C202),ISNUMBER(I202)),SUM(C202)*I202,"")</f>
        <v/>
      </c>
      <c r="O202" s="462"/>
      <c r="P202" s="355">
        <f t="shared" si="10"/>
        <v>0</v>
      </c>
    </row>
    <row r="203" spans="1:17" ht="15" customHeight="1" x14ac:dyDescent="0.2">
      <c r="A203" s="337"/>
      <c r="B203" s="489" t="s">
        <v>260</v>
      </c>
      <c r="C203" s="368"/>
      <c r="D203" s="74"/>
      <c r="E203" s="74"/>
      <c r="F203" s="74"/>
      <c r="G203" s="74"/>
      <c r="H203" s="74"/>
      <c r="I203" s="340">
        <f>Parameters!E87</f>
        <v>0</v>
      </c>
      <c r="K203" s="74"/>
      <c r="L203" s="369"/>
      <c r="M203" s="261"/>
      <c r="N203" s="370" t="str">
        <f>IF(AND(ISNUMBER(C203),ISNUMBER(I203)),SUM(C203)*I203,"")</f>
        <v/>
      </c>
      <c r="O203" s="462"/>
      <c r="P203" s="355">
        <f t="shared" si="10"/>
        <v>0</v>
      </c>
    </row>
    <row r="204" spans="1:17" s="336" customFormat="1" ht="15" customHeight="1" x14ac:dyDescent="0.2">
      <c r="A204" s="337"/>
      <c r="B204" s="74"/>
      <c r="C204" s="74"/>
      <c r="D204" s="74"/>
      <c r="E204" s="74"/>
      <c r="F204" s="74"/>
      <c r="G204" s="74"/>
      <c r="H204" s="74"/>
      <c r="I204" s="74"/>
      <c r="J204" s="74"/>
      <c r="K204" s="74"/>
      <c r="L204" s="351" t="s">
        <v>772</v>
      </c>
      <c r="M204" s="352"/>
      <c r="N204" s="353" t="str">
        <f>IF(SUM(P48:P203)=106,SUM(N48:N203),"")</f>
        <v/>
      </c>
      <c r="O204" s="461"/>
      <c r="P204" s="74"/>
    </row>
    <row r="205" spans="1:17" ht="15" customHeight="1" x14ac:dyDescent="0.2">
      <c r="A205" s="354"/>
      <c r="B205" s="355"/>
      <c r="C205" s="355"/>
      <c r="D205" s="355"/>
      <c r="E205" s="355"/>
      <c r="F205" s="355"/>
      <c r="G205" s="355"/>
      <c r="H205" s="355"/>
      <c r="I205" s="355"/>
      <c r="J205" s="355"/>
      <c r="K205" s="355"/>
      <c r="L205" s="355"/>
      <c r="M205" s="355"/>
      <c r="N205" s="355"/>
      <c r="O205" s="462"/>
      <c r="P205" s="355"/>
    </row>
    <row r="206" spans="1:17" s="331" customFormat="1" ht="30" customHeight="1" x14ac:dyDescent="0.25">
      <c r="A206" s="52" t="s">
        <v>696</v>
      </c>
      <c r="B206" s="73"/>
      <c r="C206" s="73"/>
      <c r="D206" s="73"/>
      <c r="E206" s="73"/>
      <c r="F206" s="73"/>
      <c r="G206" s="73"/>
      <c r="H206" s="73"/>
      <c r="I206" s="73"/>
      <c r="J206" s="329"/>
      <c r="K206" s="329"/>
      <c r="L206" s="329"/>
      <c r="M206" s="329"/>
      <c r="N206" s="329"/>
      <c r="O206" s="330"/>
      <c r="P206" s="371"/>
    </row>
    <row r="207" spans="1:17" s="331" customFormat="1" ht="15" customHeight="1" x14ac:dyDescent="0.25">
      <c r="A207" s="224"/>
      <c r="B207" s="74"/>
      <c r="C207" s="74"/>
      <c r="D207" s="74"/>
      <c r="E207" s="74"/>
      <c r="F207" s="74"/>
      <c r="G207" s="74"/>
      <c r="H207" s="74"/>
      <c r="I207" s="74"/>
      <c r="J207" s="371"/>
      <c r="K207" s="371"/>
      <c r="L207" s="371"/>
      <c r="M207" s="371"/>
      <c r="N207" s="371"/>
      <c r="O207" s="361"/>
      <c r="P207" s="371"/>
    </row>
    <row r="208" spans="1:17" ht="15" customHeight="1" x14ac:dyDescent="0.2">
      <c r="A208" s="337"/>
      <c r="B208" s="74"/>
      <c r="C208" s="74"/>
      <c r="D208" s="74"/>
      <c r="E208" s="74"/>
      <c r="F208" s="74"/>
      <c r="G208" s="74"/>
      <c r="H208" s="74"/>
      <c r="I208" s="74"/>
      <c r="J208" s="74"/>
      <c r="K208" s="74"/>
      <c r="L208" s="351" t="s">
        <v>490</v>
      </c>
      <c r="M208" s="351"/>
      <c r="N208" s="382" t="str">
        <f>IF(AND(ISNUMBER(N204),ISNUMBER(N41)),IF(N204&gt;0,N41/N204,""),"")</f>
        <v/>
      </c>
      <c r="O208" s="462"/>
      <c r="P208" s="355"/>
    </row>
    <row r="209" spans="1:17" ht="15" customHeight="1" x14ac:dyDescent="0.2">
      <c r="A209" s="354"/>
      <c r="B209" s="355"/>
      <c r="C209" s="355"/>
      <c r="D209" s="355"/>
      <c r="E209" s="355"/>
      <c r="F209" s="355"/>
      <c r="G209" s="355"/>
      <c r="H209" s="355"/>
      <c r="I209" s="355"/>
      <c r="J209" s="355"/>
      <c r="K209" s="355"/>
      <c r="L209" s="355"/>
      <c r="M209" s="355"/>
      <c r="N209" s="355"/>
      <c r="O209" s="462"/>
      <c r="P209" s="355"/>
    </row>
    <row r="210" spans="1:17" s="331" customFormat="1" ht="30" customHeight="1" x14ac:dyDescent="0.25">
      <c r="A210" s="52" t="s">
        <v>699</v>
      </c>
      <c r="B210" s="73"/>
      <c r="C210" s="73"/>
      <c r="D210" s="73"/>
      <c r="E210" s="73"/>
      <c r="F210" s="73"/>
      <c r="G210" s="73"/>
      <c r="H210" s="73"/>
      <c r="I210" s="73"/>
      <c r="J210" s="329"/>
      <c r="K210" s="329"/>
      <c r="L210" s="329"/>
      <c r="M210" s="329"/>
      <c r="N210" s="329"/>
      <c r="O210" s="330"/>
      <c r="P210" s="371"/>
    </row>
    <row r="211" spans="1:17" ht="15" customHeight="1" x14ac:dyDescent="0.2">
      <c r="A211" s="354"/>
      <c r="B211" s="355"/>
      <c r="C211" s="355"/>
      <c r="D211" s="355"/>
      <c r="E211" s="355"/>
      <c r="F211" s="355"/>
      <c r="G211" s="355"/>
      <c r="H211" s="355"/>
      <c r="I211" s="355"/>
      <c r="J211" s="355"/>
      <c r="K211" s="355"/>
      <c r="L211" s="355"/>
      <c r="M211" s="355"/>
      <c r="N211" s="355"/>
      <c r="O211" s="462"/>
      <c r="P211" s="355"/>
    </row>
    <row r="212" spans="1:17" ht="15" customHeight="1" x14ac:dyDescent="0.2">
      <c r="A212" s="337"/>
      <c r="B212" s="852"/>
      <c r="C212" s="857" t="s">
        <v>643</v>
      </c>
      <c r="D212" s="857"/>
      <c r="E212" s="857"/>
      <c r="F212" s="857"/>
      <c r="G212" s="858"/>
      <c r="H212" s="74"/>
      <c r="I212" s="848" t="s">
        <v>150</v>
      </c>
      <c r="J212" s="848" t="s">
        <v>151</v>
      </c>
      <c r="K212" s="74"/>
      <c r="L212" s="848" t="s">
        <v>152</v>
      </c>
      <c r="M212" s="848" t="s">
        <v>153</v>
      </c>
      <c r="N212" s="848" t="s">
        <v>154</v>
      </c>
      <c r="O212" s="462"/>
      <c r="P212" s="355"/>
    </row>
    <row r="213" spans="1:17" ht="30" customHeight="1" x14ac:dyDescent="0.2">
      <c r="A213" s="337"/>
      <c r="B213" s="853"/>
      <c r="C213" s="262" t="s">
        <v>155</v>
      </c>
      <c r="D213" s="260" t="s">
        <v>729</v>
      </c>
      <c r="E213" s="260" t="s">
        <v>730</v>
      </c>
      <c r="F213" s="260" t="s">
        <v>731</v>
      </c>
      <c r="G213" s="260" t="s">
        <v>732</v>
      </c>
      <c r="H213" s="74"/>
      <c r="I213" s="849"/>
      <c r="J213" s="849"/>
      <c r="K213" s="74"/>
      <c r="L213" s="849"/>
      <c r="M213" s="849"/>
      <c r="N213" s="849"/>
      <c r="O213" s="462"/>
      <c r="P213" s="355"/>
    </row>
    <row r="214" spans="1:17" ht="15" customHeight="1" x14ac:dyDescent="0.2">
      <c r="A214" s="337"/>
      <c r="B214" s="450" t="s">
        <v>767</v>
      </c>
      <c r="C214" s="586"/>
      <c r="D214" s="587"/>
      <c r="E214" s="587"/>
      <c r="F214" s="588"/>
      <c r="G214" s="368"/>
      <c r="H214" s="74"/>
      <c r="I214" s="261"/>
      <c r="J214" s="340">
        <v>1</v>
      </c>
      <c r="K214" s="74"/>
      <c r="L214" s="261"/>
      <c r="M214" s="370" t="str">
        <f>IF(AND(ISNUMBER(G214),ISNUMBER(J214)),SUM(G214)*J214,"")</f>
        <v/>
      </c>
      <c r="N214" s="370" t="str">
        <f>M214</f>
        <v/>
      </c>
      <c r="O214" s="462"/>
      <c r="P214" s="355"/>
    </row>
    <row r="215" spans="1:17" ht="15" customHeight="1" x14ac:dyDescent="0.2">
      <c r="A215" s="337"/>
      <c r="B215" s="409" t="s">
        <v>166</v>
      </c>
      <c r="C215" s="589"/>
      <c r="D215" s="590"/>
      <c r="E215" s="590"/>
      <c r="F215" s="591"/>
      <c r="G215" s="368"/>
      <c r="H215" s="74"/>
      <c r="I215" s="261"/>
      <c r="J215" s="340">
        <v>1</v>
      </c>
      <c r="K215" s="74"/>
      <c r="L215" s="261"/>
      <c r="M215" s="370" t="str">
        <f t="shared" ref="M215:M230" si="12">IF(AND(ISNUMBER(G215),ISNUMBER(J215)),SUM(G215)*J215,"")</f>
        <v/>
      </c>
      <c r="N215" s="370" t="str">
        <f>M215</f>
        <v/>
      </c>
      <c r="O215" s="462"/>
      <c r="P215" s="355"/>
    </row>
    <row r="216" spans="1:17" ht="30" customHeight="1" x14ac:dyDescent="0.2">
      <c r="A216" s="337"/>
      <c r="B216" s="409" t="s">
        <v>773</v>
      </c>
      <c r="C216" s="368"/>
      <c r="D216" s="368"/>
      <c r="E216" s="368"/>
      <c r="F216" s="368"/>
      <c r="G216" s="368"/>
      <c r="H216" s="74"/>
      <c r="I216" s="340">
        <v>0.75</v>
      </c>
      <c r="J216" s="340">
        <v>1</v>
      </c>
      <c r="K216" s="74"/>
      <c r="L216" s="370" t="str">
        <f>IF(AND(ISNUMBER(C216),ISNUMBER(D216),ISNUMBER(E216),ISNUMBER(F216),ISNUMBER(I216)),SUM(C216:F216)*I216,"")</f>
        <v/>
      </c>
      <c r="M216" s="370" t="str">
        <f t="shared" si="12"/>
        <v/>
      </c>
      <c r="N216" s="370" t="str">
        <f t="shared" ref="N216:N221" si="13">IF(AND(ISNUMBER(L216),ISNUMBER(M216)),SUM(L216:M216),"")</f>
        <v/>
      </c>
      <c r="O216" s="462"/>
      <c r="P216" s="355"/>
    </row>
    <row r="217" spans="1:17" ht="30" customHeight="1" x14ac:dyDescent="0.2">
      <c r="A217" s="337"/>
      <c r="B217" s="409" t="s">
        <v>168</v>
      </c>
      <c r="C217" s="368"/>
      <c r="D217" s="368"/>
      <c r="E217" s="368"/>
      <c r="F217" s="368"/>
      <c r="G217" s="368"/>
      <c r="H217" s="74"/>
      <c r="I217" s="340">
        <v>0.75</v>
      </c>
      <c r="J217" s="340">
        <v>1</v>
      </c>
      <c r="K217" s="74"/>
      <c r="L217" s="370" t="str">
        <f t="shared" ref="L217:L221" si="14">IF(AND(ISNUMBER(C217),ISNUMBER(D217),ISNUMBER(E217),ISNUMBER(F217),ISNUMBER(I217)),SUM(C217:F217)*I217,"")</f>
        <v/>
      </c>
      <c r="M217" s="370" t="str">
        <f t="shared" si="12"/>
        <v/>
      </c>
      <c r="N217" s="370" t="str">
        <f t="shared" si="13"/>
        <v/>
      </c>
      <c r="O217" s="462"/>
      <c r="P217" s="355"/>
    </row>
    <row r="218" spans="1:17" ht="15" customHeight="1" x14ac:dyDescent="0.2">
      <c r="A218" s="337"/>
      <c r="B218" s="409" t="s">
        <v>654</v>
      </c>
      <c r="C218" s="368"/>
      <c r="D218" s="368"/>
      <c r="E218" s="368"/>
      <c r="F218" s="368"/>
      <c r="G218" s="368"/>
      <c r="H218" s="74"/>
      <c r="I218" s="340">
        <v>0</v>
      </c>
      <c r="J218" s="340">
        <v>1</v>
      </c>
      <c r="K218" s="74"/>
      <c r="L218" s="370" t="str">
        <f>IF(AND(ISNUMBER(C218),ISNUMBER(D218),ISNUMBER(E218),ISNUMBER(F218),ISNUMBER(I218)),SUM(C218:F218)*I218,"")</f>
        <v/>
      </c>
      <c r="M218" s="370" t="str">
        <f>IF(AND(ISNUMBER(G218),ISNUMBER(J218)),SUM(G218)*J218,"")</f>
        <v/>
      </c>
      <c r="N218" s="370" t="str">
        <f t="shared" si="13"/>
        <v/>
      </c>
      <c r="O218" s="462"/>
      <c r="P218" s="355"/>
    </row>
    <row r="219" spans="1:17" s="336" customFormat="1" ht="15" customHeight="1" x14ac:dyDescent="0.2">
      <c r="A219" s="337"/>
      <c r="B219" s="409" t="s">
        <v>169</v>
      </c>
      <c r="C219" s="368"/>
      <c r="D219" s="368"/>
      <c r="E219" s="368"/>
      <c r="F219" s="368"/>
      <c r="G219" s="368"/>
      <c r="H219" s="74"/>
      <c r="I219" s="340">
        <v>0.5</v>
      </c>
      <c r="J219" s="340">
        <v>1</v>
      </c>
      <c r="K219" s="74"/>
      <c r="L219" s="370" t="str">
        <f t="shared" si="14"/>
        <v/>
      </c>
      <c r="M219" s="370" t="str">
        <f t="shared" si="12"/>
        <v/>
      </c>
      <c r="N219" s="370" t="str">
        <f t="shared" si="13"/>
        <v/>
      </c>
      <c r="O219" s="461"/>
      <c r="P219" s="74"/>
    </row>
    <row r="220" spans="1:17" ht="15" customHeight="1" x14ac:dyDescent="0.2">
      <c r="A220" s="337"/>
      <c r="B220" s="409" t="s">
        <v>352</v>
      </c>
      <c r="C220" s="368"/>
      <c r="D220" s="368"/>
      <c r="E220" s="368"/>
      <c r="F220" s="368"/>
      <c r="G220" s="368"/>
      <c r="H220" s="74"/>
      <c r="I220" s="340">
        <v>0.5</v>
      </c>
      <c r="J220" s="340">
        <v>1</v>
      </c>
      <c r="K220" s="74"/>
      <c r="L220" s="370" t="str">
        <f t="shared" si="14"/>
        <v/>
      </c>
      <c r="M220" s="370" t="str">
        <f t="shared" si="12"/>
        <v/>
      </c>
      <c r="N220" s="370" t="str">
        <f t="shared" si="13"/>
        <v/>
      </c>
      <c r="O220" s="462"/>
      <c r="P220" s="355"/>
    </row>
    <row r="221" spans="1:17" ht="30" customHeight="1" x14ac:dyDescent="0.2">
      <c r="A221" s="337"/>
      <c r="B221" s="450" t="s">
        <v>491</v>
      </c>
      <c r="C221" s="368"/>
      <c r="D221" s="368"/>
      <c r="E221" s="368"/>
      <c r="F221" s="368"/>
      <c r="G221" s="368"/>
      <c r="H221" s="74"/>
      <c r="I221" s="340">
        <v>0</v>
      </c>
      <c r="J221" s="340">
        <v>1</v>
      </c>
      <c r="K221" s="74"/>
      <c r="L221" s="370" t="str">
        <f t="shared" si="14"/>
        <v/>
      </c>
      <c r="M221" s="370" t="str">
        <f t="shared" si="12"/>
        <v/>
      </c>
      <c r="N221" s="370" t="str">
        <f t="shared" si="13"/>
        <v/>
      </c>
      <c r="O221" s="462"/>
      <c r="P221" s="355"/>
    </row>
    <row r="222" spans="1:17" ht="30" customHeight="1" x14ac:dyDescent="0.2">
      <c r="A222" s="337"/>
      <c r="B222" s="450" t="s">
        <v>700</v>
      </c>
      <c r="C222" s="603"/>
      <c r="D222" s="602"/>
      <c r="E222" s="602"/>
      <c r="F222" s="602"/>
      <c r="G222" s="578"/>
      <c r="H222" s="74"/>
      <c r="I222" s="261"/>
      <c r="J222" s="261"/>
      <c r="K222" s="74"/>
      <c r="L222" s="261"/>
      <c r="M222" s="261"/>
      <c r="N222" s="261"/>
      <c r="O222" s="462"/>
      <c r="P222" s="355"/>
    </row>
    <row r="223" spans="1:17" ht="15" customHeight="1" x14ac:dyDescent="0.2">
      <c r="A223" s="337"/>
      <c r="B223" s="719" t="s">
        <v>1053</v>
      </c>
      <c r="C223" s="603"/>
      <c r="D223" s="602"/>
      <c r="E223" s="602"/>
      <c r="F223" s="602"/>
      <c r="G223" s="578"/>
      <c r="H223" s="74"/>
      <c r="I223" s="261"/>
      <c r="J223" s="261"/>
      <c r="K223" s="74"/>
      <c r="L223" s="261"/>
      <c r="M223" s="261"/>
      <c r="N223" s="261"/>
      <c r="O223" s="462"/>
      <c r="P223" s="355"/>
      <c r="Q223" s="732"/>
    </row>
    <row r="224" spans="1:17" ht="30" customHeight="1" x14ac:dyDescent="0.2">
      <c r="A224" s="337"/>
      <c r="B224" s="719" t="s">
        <v>1028</v>
      </c>
      <c r="C224" s="603"/>
      <c r="D224" s="602"/>
      <c r="E224" s="602"/>
      <c r="F224" s="602"/>
      <c r="G224" s="578"/>
      <c r="H224" s="407"/>
      <c r="I224" s="730"/>
      <c r="J224" s="730"/>
      <c r="K224" s="407"/>
      <c r="L224" s="39"/>
      <c r="M224" s="39"/>
      <c r="N224" s="39"/>
      <c r="O224" s="462"/>
      <c r="P224" s="355"/>
      <c r="Q224" s="732"/>
    </row>
    <row r="225" spans="1:17" ht="15" customHeight="1" x14ac:dyDescent="0.2">
      <c r="A225" s="337"/>
      <c r="B225" s="720" t="s">
        <v>1029</v>
      </c>
      <c r="C225" s="368"/>
      <c r="D225" s="368"/>
      <c r="E225" s="368"/>
      <c r="F225" s="368"/>
      <c r="G225" s="368"/>
      <c r="H225" s="74"/>
      <c r="I225" s="408">
        <v>0</v>
      </c>
      <c r="J225" s="408">
        <v>1</v>
      </c>
      <c r="K225" s="74"/>
      <c r="L225" s="370" t="str">
        <f t="shared" ref="L225:L229" si="15">IF(AND(ISNUMBER(C225),ISNUMBER(D225),ISNUMBER(E225),ISNUMBER(F225),ISNUMBER(I225)),SUM(C225:F225)*I225,"")</f>
        <v/>
      </c>
      <c r="M225" s="370" t="str">
        <f t="shared" ref="M225:M229" si="16">IF(AND(ISNUMBER(G225),ISNUMBER(J225)),SUM(G225)*J225,"")</f>
        <v/>
      </c>
      <c r="N225" s="370" t="str">
        <f t="shared" ref="N225:N229" si="17">IF(AND(ISNUMBER(L225),ISNUMBER(M225)),SUM(L225:M225),"")</f>
        <v/>
      </c>
      <c r="O225" s="462"/>
      <c r="P225" s="355"/>
      <c r="Q225" s="732"/>
    </row>
    <row r="226" spans="1:17" ht="15" customHeight="1" x14ac:dyDescent="0.2">
      <c r="A226" s="337"/>
      <c r="B226" s="720" t="s">
        <v>45</v>
      </c>
      <c r="C226" s="368"/>
      <c r="D226" s="368"/>
      <c r="E226" s="368"/>
      <c r="F226" s="368"/>
      <c r="G226" s="368"/>
      <c r="H226" s="74"/>
      <c r="I226" s="408">
        <v>0</v>
      </c>
      <c r="J226" s="408">
        <v>1</v>
      </c>
      <c r="K226" s="74"/>
      <c r="L226" s="370" t="str">
        <f t="shared" si="15"/>
        <v/>
      </c>
      <c r="M226" s="370" t="str">
        <f t="shared" si="16"/>
        <v/>
      </c>
      <c r="N226" s="370" t="str">
        <f t="shared" si="17"/>
        <v/>
      </c>
      <c r="O226" s="462"/>
      <c r="P226" s="355"/>
      <c r="Q226" s="732"/>
    </row>
    <row r="227" spans="1:17" ht="15" customHeight="1" x14ac:dyDescent="0.2">
      <c r="A227" s="337"/>
      <c r="B227" s="720" t="s">
        <v>494</v>
      </c>
      <c r="C227" s="368"/>
      <c r="D227" s="368"/>
      <c r="E227" s="368"/>
      <c r="F227" s="368"/>
      <c r="G227" s="368"/>
      <c r="H227" s="74"/>
      <c r="I227" s="408">
        <v>0.5</v>
      </c>
      <c r="J227" s="408">
        <v>1</v>
      </c>
      <c r="K227" s="74"/>
      <c r="L227" s="370" t="str">
        <f t="shared" ref="L227" si="18">IF(AND(ISNUMBER(C227),ISNUMBER(D227),ISNUMBER(E227),ISNUMBER(F227),ISNUMBER(I227)),SUM(C227:F227)*I227,"")</f>
        <v/>
      </c>
      <c r="M227" s="370" t="str">
        <f t="shared" ref="M227" si="19">IF(AND(ISNUMBER(G227),ISNUMBER(J227)),SUM(G227)*J227,"")</f>
        <v/>
      </c>
      <c r="N227" s="370" t="str">
        <f t="shared" ref="N227" si="20">IF(AND(ISNUMBER(L227),ISNUMBER(M227)),SUM(L227:M227),"")</f>
        <v/>
      </c>
      <c r="O227" s="462"/>
      <c r="P227" s="355"/>
      <c r="Q227" s="732"/>
    </row>
    <row r="228" spans="1:17" ht="15" customHeight="1" x14ac:dyDescent="0.2">
      <c r="A228" s="337"/>
      <c r="B228" s="720" t="s">
        <v>1030</v>
      </c>
      <c r="C228" s="368"/>
      <c r="D228" s="368"/>
      <c r="E228" s="368"/>
      <c r="F228" s="368"/>
      <c r="G228" s="368"/>
      <c r="H228" s="74"/>
      <c r="I228" s="408">
        <v>0.5</v>
      </c>
      <c r="J228" s="408">
        <v>1</v>
      </c>
      <c r="K228" s="74"/>
      <c r="L228" s="370" t="str">
        <f t="shared" si="15"/>
        <v/>
      </c>
      <c r="M228" s="370" t="str">
        <f t="shared" si="16"/>
        <v/>
      </c>
      <c r="N228" s="370" t="str">
        <f t="shared" si="17"/>
        <v/>
      </c>
      <c r="O228" s="462"/>
      <c r="P228" s="355"/>
      <c r="Q228" s="732"/>
    </row>
    <row r="229" spans="1:17" ht="15" customHeight="1" x14ac:dyDescent="0.2">
      <c r="A229" s="337"/>
      <c r="B229" s="720" t="s">
        <v>1031</v>
      </c>
      <c r="C229" s="368"/>
      <c r="D229" s="368"/>
      <c r="E229" s="368"/>
      <c r="F229" s="368"/>
      <c r="G229" s="368"/>
      <c r="H229" s="74"/>
      <c r="I229" s="408">
        <v>0</v>
      </c>
      <c r="J229" s="408">
        <v>1</v>
      </c>
      <c r="K229" s="74"/>
      <c r="L229" s="370" t="str">
        <f t="shared" si="15"/>
        <v/>
      </c>
      <c r="M229" s="370" t="str">
        <f t="shared" si="16"/>
        <v/>
      </c>
      <c r="N229" s="370" t="str">
        <f t="shared" si="17"/>
        <v/>
      </c>
      <c r="O229" s="462"/>
      <c r="P229" s="355"/>
      <c r="Q229" s="732"/>
    </row>
    <row r="230" spans="1:17" ht="15" customHeight="1" x14ac:dyDescent="0.2">
      <c r="A230" s="337"/>
      <c r="B230" s="409" t="s">
        <v>172</v>
      </c>
      <c r="C230" s="586"/>
      <c r="D230" s="587"/>
      <c r="E230" s="587"/>
      <c r="F230" s="588"/>
      <c r="G230" s="368"/>
      <c r="H230" s="74"/>
      <c r="I230" s="261"/>
      <c r="J230" s="340">
        <v>0</v>
      </c>
      <c r="K230" s="74"/>
      <c r="L230" s="261"/>
      <c r="M230" s="370" t="str">
        <f t="shared" si="12"/>
        <v/>
      </c>
      <c r="N230" s="370" t="str">
        <f>M230</f>
        <v/>
      </c>
      <c r="O230" s="462"/>
      <c r="P230" s="355"/>
    </row>
    <row r="231" spans="1:17" ht="15" customHeight="1" x14ac:dyDescent="0.2">
      <c r="A231" s="337"/>
      <c r="B231" s="409" t="s">
        <v>173</v>
      </c>
      <c r="C231" s="368"/>
      <c r="D231" s="368"/>
      <c r="E231" s="368"/>
      <c r="F231" s="368"/>
      <c r="G231" s="368"/>
      <c r="H231" s="74"/>
      <c r="I231" s="340">
        <v>0</v>
      </c>
      <c r="J231" s="340">
        <v>0</v>
      </c>
      <c r="K231" s="74"/>
      <c r="L231" s="370" t="str">
        <f>IF(AND(ISNUMBER(C231),ISNUMBER(D231),ISNUMBER(E231),ISNUMBER(F231),ISNUMBER(I231)),SUM(C231:F231)*I231,"")</f>
        <v/>
      </c>
      <c r="M231" s="370" t="str">
        <f>IF(AND(ISNUMBER(G231),ISNUMBER(J231)),SUM(G231)*J231,"")</f>
        <v/>
      </c>
      <c r="N231" s="370" t="str">
        <f>IF(AND(ISNUMBER(L231),ISNUMBER(M231)),SUM(L231:M231),"")</f>
        <v/>
      </c>
      <c r="O231" s="462"/>
      <c r="P231" s="355"/>
      <c r="Q231" s="732"/>
    </row>
    <row r="232" spans="1:17" ht="30" customHeight="1" x14ac:dyDescent="0.2">
      <c r="A232" s="337"/>
      <c r="B232" s="451" t="str">
        <f>CONCATENATE("Check: the sum of each of the columns for rows ", ROW(B214), " to ", ROW(B231), " should equal the corresponding column in row ", ROW(B30))</f>
        <v>Check: the sum of each of the columns for rows 214 to 231 should equal the corresponding column in row 30</v>
      </c>
      <c r="C232" s="495" t="str">
        <f>IF(SUM(C214:C231)=C30,"Pass","Fail")</f>
        <v>Pass</v>
      </c>
      <c r="D232" s="495" t="str">
        <f>IF(SUM(D214:D231)=D30,"Pass","Fail")</f>
        <v>Pass</v>
      </c>
      <c r="E232" s="495" t="str">
        <f>IF(SUM(E214:E231)=E30,"Pass","Fail")</f>
        <v>Pass</v>
      </c>
      <c r="F232" s="495" t="str">
        <f>IF(SUM(F214:F231)=F30,"Pass","Fail")</f>
        <v>Pass</v>
      </c>
      <c r="G232" s="495" t="str">
        <f>IF(SUM(G214:G231)=G30,"Pass","Fail")</f>
        <v>Pass</v>
      </c>
      <c r="H232" s="74"/>
      <c r="I232" s="261"/>
      <c r="J232" s="261"/>
      <c r="K232" s="74"/>
      <c r="L232" s="261"/>
      <c r="M232" s="261"/>
      <c r="N232" s="261"/>
      <c r="O232" s="462"/>
      <c r="P232" s="355"/>
    </row>
    <row r="233" spans="1:17" ht="15" customHeight="1" x14ac:dyDescent="0.2">
      <c r="A233" s="372"/>
      <c r="B233" s="75"/>
      <c r="C233" s="75"/>
      <c r="D233" s="75"/>
      <c r="E233" s="75"/>
      <c r="F233" s="75"/>
      <c r="G233" s="75"/>
      <c r="H233" s="75"/>
      <c r="I233" s="75"/>
      <c r="J233" s="75"/>
      <c r="K233" s="75"/>
      <c r="L233" s="75"/>
      <c r="M233" s="75"/>
      <c r="N233" s="75"/>
      <c r="O233" s="463"/>
      <c r="P233" s="355"/>
    </row>
    <row r="234" spans="1:17" s="331" customFormat="1" ht="30" customHeight="1" x14ac:dyDescent="0.25">
      <c r="A234" s="52" t="s">
        <v>813</v>
      </c>
      <c r="B234" s="73"/>
      <c r="C234" s="73"/>
      <c r="D234" s="73"/>
      <c r="E234" s="73"/>
      <c r="F234" s="73"/>
      <c r="G234" s="73"/>
      <c r="H234" s="73"/>
      <c r="I234" s="73"/>
      <c r="J234" s="329"/>
      <c r="K234" s="329"/>
      <c r="L234" s="329"/>
      <c r="M234" s="329"/>
      <c r="N234" s="329"/>
      <c r="O234" s="330"/>
      <c r="P234" s="371"/>
    </row>
    <row r="235" spans="1:17" ht="15" customHeight="1" x14ac:dyDescent="0.2">
      <c r="A235" s="582"/>
      <c r="B235" s="583"/>
      <c r="C235" s="583"/>
      <c r="D235" s="583"/>
      <c r="E235" s="583"/>
      <c r="F235" s="583"/>
      <c r="G235" s="583"/>
      <c r="H235" s="583"/>
      <c r="I235" s="583"/>
      <c r="J235" s="583"/>
      <c r="K235" s="583"/>
      <c r="L235" s="583"/>
      <c r="M235" s="583"/>
      <c r="N235" s="583"/>
      <c r="O235" s="584"/>
    </row>
    <row r="236" spans="1:17" s="28" customFormat="1" ht="15" customHeight="1" x14ac:dyDescent="0.2">
      <c r="A236" s="383"/>
      <c r="B236" s="850"/>
      <c r="C236" s="851" t="s">
        <v>643</v>
      </c>
      <c r="D236" s="851"/>
      <c r="E236" s="851"/>
      <c r="F236" s="851"/>
      <c r="G236" s="851"/>
      <c r="H236" s="29"/>
      <c r="I236" s="29"/>
      <c r="J236" s="29"/>
      <c r="K236" s="29"/>
      <c r="L236" s="29"/>
      <c r="M236" s="29"/>
      <c r="N236" s="29"/>
      <c r="O236" s="30"/>
      <c r="Q236" s="732"/>
    </row>
    <row r="237" spans="1:17" s="28" customFormat="1" ht="30" customHeight="1" x14ac:dyDescent="0.2">
      <c r="A237" s="383"/>
      <c r="B237" s="850"/>
      <c r="C237" s="260" t="s">
        <v>155</v>
      </c>
      <c r="D237" s="260" t="s">
        <v>1032</v>
      </c>
      <c r="E237" s="260" t="s">
        <v>1033</v>
      </c>
      <c r="F237" s="260" t="s">
        <v>1034</v>
      </c>
      <c r="G237" s="260" t="s">
        <v>732</v>
      </c>
      <c r="H237" s="29"/>
      <c r="I237" s="29"/>
      <c r="J237" s="29"/>
      <c r="K237" s="29"/>
      <c r="L237" s="29"/>
      <c r="M237" s="29"/>
      <c r="N237" s="29"/>
      <c r="O237" s="30"/>
      <c r="Q237" s="732"/>
    </row>
    <row r="238" spans="1:17" ht="15" customHeight="1" x14ac:dyDescent="0.2">
      <c r="A238" s="354"/>
      <c r="B238" s="450" t="s">
        <v>814</v>
      </c>
      <c r="C238" s="603"/>
      <c r="D238" s="602"/>
      <c r="E238" s="602"/>
      <c r="F238" s="602"/>
      <c r="G238" s="578"/>
      <c r="H238" s="355"/>
      <c r="I238" s="355"/>
      <c r="J238" s="355"/>
      <c r="K238" s="355"/>
      <c r="L238" s="355"/>
      <c r="M238" s="355"/>
      <c r="N238" s="355"/>
      <c r="O238" s="462"/>
    </row>
    <row r="239" spans="1:17" ht="15" customHeight="1" x14ac:dyDescent="0.2">
      <c r="A239" s="354"/>
      <c r="B239" s="579" t="s">
        <v>734</v>
      </c>
      <c r="C239" s="368"/>
      <c r="D239" s="368"/>
      <c r="E239" s="368"/>
      <c r="F239" s="368"/>
      <c r="G239" s="368"/>
      <c r="H239" s="355"/>
      <c r="I239" s="355"/>
      <c r="J239" s="355"/>
      <c r="K239" s="355"/>
      <c r="L239" s="355"/>
      <c r="M239" s="355"/>
      <c r="N239" s="355"/>
      <c r="O239" s="462"/>
    </row>
    <row r="240" spans="1:17" ht="15" customHeight="1" x14ac:dyDescent="0.2">
      <c r="A240" s="354"/>
      <c r="B240" s="579" t="s">
        <v>735</v>
      </c>
      <c r="C240" s="368"/>
      <c r="D240" s="368"/>
      <c r="E240" s="368"/>
      <c r="F240" s="368"/>
      <c r="G240" s="368"/>
      <c r="H240" s="355"/>
      <c r="I240" s="355"/>
      <c r="J240" s="355"/>
      <c r="K240" s="355"/>
      <c r="L240" s="355"/>
      <c r="M240" s="355"/>
      <c r="N240" s="355"/>
      <c r="O240" s="462"/>
    </row>
    <row r="241" spans="1:17" s="331" customFormat="1" ht="15" customHeight="1" x14ac:dyDescent="0.2">
      <c r="A241" s="585"/>
      <c r="B241" s="580" t="s">
        <v>264</v>
      </c>
      <c r="C241" s="368"/>
      <c r="D241" s="368"/>
      <c r="E241" s="368"/>
      <c r="F241" s="368"/>
      <c r="G241" s="368"/>
      <c r="H241" s="371"/>
      <c r="I241" s="371"/>
      <c r="J241" s="371"/>
      <c r="K241" s="371"/>
      <c r="L241" s="371"/>
      <c r="M241" s="371"/>
      <c r="N241" s="371"/>
      <c r="O241" s="361"/>
    </row>
    <row r="242" spans="1:17" s="331" customFormat="1" ht="15" customHeight="1" x14ac:dyDescent="0.2">
      <c r="A242" s="585"/>
      <c r="B242" s="581" t="s">
        <v>265</v>
      </c>
      <c r="C242" s="368"/>
      <c r="D242" s="368"/>
      <c r="E242" s="368"/>
      <c r="F242" s="368"/>
      <c r="G242" s="368"/>
      <c r="H242" s="371"/>
      <c r="I242" s="371"/>
      <c r="J242" s="371"/>
      <c r="K242" s="371"/>
      <c r="L242" s="371"/>
      <c r="M242" s="371"/>
      <c r="N242" s="371"/>
      <c r="O242" s="361"/>
    </row>
    <row r="243" spans="1:17" ht="15" customHeight="1" x14ac:dyDescent="0.2">
      <c r="A243" s="354"/>
      <c r="B243" s="581" t="s">
        <v>736</v>
      </c>
      <c r="C243" s="368"/>
      <c r="D243" s="368"/>
      <c r="E243" s="368"/>
      <c r="F243" s="368"/>
      <c r="G243" s="368"/>
      <c r="H243" s="355"/>
      <c r="I243" s="355"/>
      <c r="J243" s="355"/>
      <c r="K243" s="355"/>
      <c r="L243" s="355"/>
      <c r="M243" s="355"/>
      <c r="N243" s="355"/>
      <c r="O243" s="462"/>
    </row>
    <row r="244" spans="1:17" ht="15" customHeight="1" x14ac:dyDescent="0.2">
      <c r="A244" s="354"/>
      <c r="B244" s="581" t="s">
        <v>263</v>
      </c>
      <c r="C244" s="368"/>
      <c r="D244" s="368"/>
      <c r="E244" s="368"/>
      <c r="F244" s="368"/>
      <c r="G244" s="368"/>
      <c r="H244" s="355"/>
      <c r="I244" s="355"/>
      <c r="J244" s="355"/>
      <c r="K244" s="355"/>
      <c r="L244" s="355"/>
      <c r="M244" s="355"/>
      <c r="N244" s="355"/>
      <c r="O244" s="462"/>
    </row>
    <row r="245" spans="1:17" ht="15" customHeight="1" x14ac:dyDescent="0.2">
      <c r="A245" s="354"/>
      <c r="B245" s="581" t="s">
        <v>262</v>
      </c>
      <c r="C245" s="368"/>
      <c r="D245" s="368"/>
      <c r="E245" s="368"/>
      <c r="F245" s="368"/>
      <c r="G245" s="368"/>
      <c r="H245" s="355"/>
      <c r="I245" s="355"/>
      <c r="J245" s="355"/>
      <c r="K245" s="355"/>
      <c r="L245" s="355"/>
      <c r="M245" s="355"/>
      <c r="N245" s="355"/>
      <c r="O245" s="462"/>
    </row>
    <row r="246" spans="1:17" ht="30" customHeight="1" x14ac:dyDescent="0.2">
      <c r="A246" s="354"/>
      <c r="B246" s="451" t="str">
        <f>CONCATENATE("Check: sum of rows ", ROW(B241), " to ", ROW(B245), " for each column should equal the corresponding column in row ", ROW(B240))</f>
        <v>Check: sum of rows 241 to 245 for each column should equal the corresponding column in row 240</v>
      </c>
      <c r="C246" s="495" t="str">
        <f>IF(SUM(C241:C245)=C240,"Pass","Fail")</f>
        <v>Pass</v>
      </c>
      <c r="D246" s="495" t="str">
        <f>IF(SUM(D241:D245)=D240,"Pass","Fail")</f>
        <v>Pass</v>
      </c>
      <c r="E246" s="495" t="str">
        <f>IF(SUM(E241:E245)=E240,"Pass","Fail")</f>
        <v>Pass</v>
      </c>
      <c r="F246" s="495" t="str">
        <f>IF(SUM(F241:F245)=F240,"Pass","Fail")</f>
        <v>Pass</v>
      </c>
      <c r="G246" s="495" t="str">
        <f>IF(SUM(G241:G245)=G240,"Pass","Fail")</f>
        <v>Pass</v>
      </c>
      <c r="H246" s="355"/>
      <c r="I246" s="355"/>
      <c r="J246" s="355"/>
      <c r="K246" s="355"/>
      <c r="L246" s="355"/>
      <c r="M246" s="355"/>
      <c r="N246" s="355"/>
      <c r="O246" s="462"/>
    </row>
    <row r="247" spans="1:17" ht="30" customHeight="1" x14ac:dyDescent="0.2">
      <c r="A247" s="354"/>
      <c r="B247" s="450" t="s">
        <v>815</v>
      </c>
      <c r="C247" s="603"/>
      <c r="D247" s="602"/>
      <c r="E247" s="602"/>
      <c r="F247" s="602"/>
      <c r="G247" s="578"/>
      <c r="H247" s="355"/>
      <c r="I247" s="355"/>
      <c r="J247" s="355"/>
      <c r="K247" s="355"/>
      <c r="L247" s="355"/>
      <c r="M247" s="355"/>
      <c r="N247" s="355"/>
      <c r="O247" s="462"/>
    </row>
    <row r="248" spans="1:17" ht="15" customHeight="1" x14ac:dyDescent="0.2">
      <c r="A248" s="354"/>
      <c r="B248" s="579" t="s">
        <v>734</v>
      </c>
      <c r="C248" s="368"/>
      <c r="D248" s="368"/>
      <c r="E248" s="368"/>
      <c r="F248" s="368"/>
      <c r="G248" s="368"/>
      <c r="H248" s="355"/>
      <c r="I248" s="355"/>
      <c r="J248" s="355"/>
      <c r="K248" s="355"/>
      <c r="L248" s="355"/>
      <c r="M248" s="355"/>
      <c r="N248" s="355"/>
      <c r="O248" s="462"/>
    </row>
    <row r="249" spans="1:17" ht="15" customHeight="1" x14ac:dyDescent="0.2">
      <c r="A249" s="354"/>
      <c r="B249" s="579" t="s">
        <v>735</v>
      </c>
      <c r="C249" s="368"/>
      <c r="D249" s="368"/>
      <c r="E249" s="368"/>
      <c r="F249" s="368"/>
      <c r="G249" s="368"/>
      <c r="H249" s="355"/>
      <c r="I249" s="355"/>
      <c r="J249" s="355"/>
      <c r="K249" s="355"/>
      <c r="L249" s="355"/>
      <c r="M249" s="355"/>
      <c r="N249" s="355"/>
      <c r="O249" s="462"/>
    </row>
    <row r="250" spans="1:17" ht="15" customHeight="1" x14ac:dyDescent="0.2">
      <c r="A250" s="354"/>
      <c r="B250" s="580" t="s">
        <v>264</v>
      </c>
      <c r="C250" s="368"/>
      <c r="D250" s="368"/>
      <c r="E250" s="368"/>
      <c r="F250" s="368"/>
      <c r="G250" s="368"/>
      <c r="H250" s="355"/>
      <c r="I250" s="355"/>
      <c r="J250" s="355"/>
      <c r="K250" s="355"/>
      <c r="L250" s="355"/>
      <c r="M250" s="355"/>
      <c r="N250" s="355"/>
      <c r="O250" s="462"/>
    </row>
    <row r="251" spans="1:17" ht="15" customHeight="1" x14ac:dyDescent="0.2">
      <c r="A251" s="354"/>
      <c r="B251" s="581" t="s">
        <v>265</v>
      </c>
      <c r="C251" s="368"/>
      <c r="D251" s="368"/>
      <c r="E251" s="368"/>
      <c r="F251" s="368"/>
      <c r="G251" s="368"/>
      <c r="H251" s="355"/>
      <c r="I251" s="355"/>
      <c r="J251" s="355"/>
      <c r="K251" s="355"/>
      <c r="L251" s="355"/>
      <c r="M251" s="355"/>
      <c r="N251" s="355"/>
      <c r="O251" s="462"/>
    </row>
    <row r="252" spans="1:17" ht="15" customHeight="1" x14ac:dyDescent="0.2">
      <c r="A252" s="354"/>
      <c r="B252" s="581" t="s">
        <v>736</v>
      </c>
      <c r="C252" s="368"/>
      <c r="D252" s="368"/>
      <c r="E252" s="368"/>
      <c r="F252" s="368"/>
      <c r="G252" s="368"/>
      <c r="H252" s="355"/>
      <c r="I252" s="355"/>
      <c r="J252" s="355"/>
      <c r="K252" s="355"/>
      <c r="L252" s="355"/>
      <c r="M252" s="355"/>
      <c r="N252" s="355"/>
      <c r="O252" s="462"/>
    </row>
    <row r="253" spans="1:17" ht="15" customHeight="1" x14ac:dyDescent="0.2">
      <c r="A253" s="354"/>
      <c r="B253" s="581" t="s">
        <v>263</v>
      </c>
      <c r="C253" s="368"/>
      <c r="D253" s="368"/>
      <c r="E253" s="368"/>
      <c r="F253" s="368"/>
      <c r="G253" s="368"/>
      <c r="H253" s="355"/>
      <c r="I253" s="355"/>
      <c r="J253" s="355"/>
      <c r="K253" s="355"/>
      <c r="L253" s="355"/>
      <c r="M253" s="355"/>
      <c r="N253" s="355"/>
      <c r="O253" s="462"/>
    </row>
    <row r="254" spans="1:17" ht="15" customHeight="1" x14ac:dyDescent="0.2">
      <c r="A254" s="354"/>
      <c r="B254" s="581" t="s">
        <v>262</v>
      </c>
      <c r="C254" s="368"/>
      <c r="D254" s="368"/>
      <c r="E254" s="368"/>
      <c r="F254" s="368"/>
      <c r="G254" s="368"/>
      <c r="H254" s="355"/>
      <c r="I254" s="355"/>
      <c r="J254" s="355"/>
      <c r="K254" s="355"/>
      <c r="L254" s="355"/>
      <c r="M254" s="355"/>
      <c r="N254" s="355"/>
      <c r="O254" s="462"/>
    </row>
    <row r="255" spans="1:17" ht="30" customHeight="1" x14ac:dyDescent="0.2">
      <c r="A255" s="354"/>
      <c r="B255" s="451" t="str">
        <f>CONCATENATE("Check: sum of rows ", ROW(B250), " to ", ROW(B254), " for each column should equal the corresponding column in row ", ROW(B249))</f>
        <v>Check: sum of rows 250 to 254 for each column should equal the corresponding column in row 249</v>
      </c>
      <c r="C255" s="495" t="str">
        <f>IF(SUM(C250:C254)=C249,"Pass","Fail")</f>
        <v>Pass</v>
      </c>
      <c r="D255" s="495" t="str">
        <f>IF(SUM(D250:D254)=D249,"Pass","Fail")</f>
        <v>Pass</v>
      </c>
      <c r="E255" s="495" t="str">
        <f>IF(SUM(E250:E254)=E249,"Pass","Fail")</f>
        <v>Pass</v>
      </c>
      <c r="F255" s="495" t="str">
        <f>IF(SUM(F250:F254)=F249,"Pass","Fail")</f>
        <v>Pass</v>
      </c>
      <c r="G255" s="495" t="str">
        <f>IF(SUM(G250:G254)=G249,"Pass","Fail")</f>
        <v>Pass</v>
      </c>
      <c r="H255" s="355"/>
      <c r="I255" s="355"/>
      <c r="J255" s="355"/>
      <c r="K255" s="355"/>
      <c r="L255" s="355"/>
      <c r="M255" s="355"/>
      <c r="N255" s="355"/>
      <c r="O255" s="462"/>
    </row>
    <row r="256" spans="1:17" s="28" customFormat="1" ht="15" customHeight="1" x14ac:dyDescent="0.2">
      <c r="A256" s="383"/>
      <c r="B256" s="502" t="str">
        <f>CONCATENATE("Central bank reserves reported in row ", ROW(B49), "; of which relate to: ")</f>
        <v xml:space="preserve">Central bank reserves reported in row 49; of which relate to: </v>
      </c>
      <c r="C256" s="603"/>
      <c r="D256" s="602"/>
      <c r="E256" s="602"/>
      <c r="F256" s="602"/>
      <c r="G256" s="578"/>
      <c r="H256" s="29"/>
      <c r="I256" s="29"/>
      <c r="J256" s="29"/>
      <c r="K256" s="29"/>
      <c r="L256" s="29"/>
      <c r="M256" s="29"/>
      <c r="N256" s="29"/>
      <c r="O256" s="30"/>
      <c r="Q256" s="732"/>
    </row>
    <row r="257" spans="1:17" s="28" customFormat="1" ht="15" customHeight="1" x14ac:dyDescent="0.2">
      <c r="A257" s="383"/>
      <c r="B257" s="731" t="s">
        <v>1035</v>
      </c>
      <c r="C257" s="406"/>
      <c r="D257" s="406"/>
      <c r="E257" s="406"/>
      <c r="F257" s="406"/>
      <c r="G257" s="406"/>
      <c r="H257" s="29"/>
      <c r="I257" s="29"/>
      <c r="J257" s="29"/>
      <c r="K257" s="29"/>
      <c r="L257" s="29"/>
      <c r="M257" s="29"/>
      <c r="N257" s="29"/>
      <c r="O257" s="30"/>
      <c r="Q257" s="732"/>
    </row>
    <row r="258" spans="1:17" s="28" customFormat="1" ht="15" customHeight="1" x14ac:dyDescent="0.2">
      <c r="A258" s="383"/>
      <c r="B258" s="731" t="s">
        <v>1036</v>
      </c>
      <c r="C258" s="406"/>
      <c r="D258" s="406"/>
      <c r="E258" s="406"/>
      <c r="F258" s="406"/>
      <c r="G258" s="406"/>
      <c r="H258" s="29"/>
      <c r="I258" s="29"/>
      <c r="J258" s="29"/>
      <c r="K258" s="29"/>
      <c r="L258" s="29"/>
      <c r="M258" s="29"/>
      <c r="N258" s="29"/>
      <c r="O258" s="30"/>
      <c r="Q258" s="732"/>
    </row>
    <row r="259" spans="1:17" ht="15" customHeight="1" x14ac:dyDescent="0.2">
      <c r="A259" s="372"/>
      <c r="B259" s="75"/>
      <c r="C259" s="75"/>
      <c r="D259" s="75"/>
      <c r="E259" s="75"/>
      <c r="F259" s="75"/>
      <c r="G259" s="75"/>
      <c r="H259" s="75"/>
      <c r="I259" s="75"/>
      <c r="J259" s="75"/>
      <c r="K259" s="75"/>
      <c r="L259" s="75"/>
      <c r="M259" s="75"/>
      <c r="N259" s="75"/>
      <c r="O259" s="463"/>
    </row>
  </sheetData>
  <mergeCells count="23">
    <mergeCell ref="B236:B237"/>
    <mergeCell ref="C236:G236"/>
    <mergeCell ref="B212:B213"/>
    <mergeCell ref="L212:L213"/>
    <mergeCell ref="C4:G4"/>
    <mergeCell ref="J212:J213"/>
    <mergeCell ref="I4:I5"/>
    <mergeCell ref="C46:G46"/>
    <mergeCell ref="B4:B5"/>
    <mergeCell ref="I46:I47"/>
    <mergeCell ref="I212:I213"/>
    <mergeCell ref="B46:B47"/>
    <mergeCell ref="C212:G212"/>
    <mergeCell ref="J4:J5"/>
    <mergeCell ref="J46:J47"/>
    <mergeCell ref="N4:N5"/>
    <mergeCell ref="M4:M5"/>
    <mergeCell ref="L4:L5"/>
    <mergeCell ref="N212:N213"/>
    <mergeCell ref="M46:M47"/>
    <mergeCell ref="L46:L47"/>
    <mergeCell ref="M212:M213"/>
    <mergeCell ref="N46:N47"/>
  </mergeCells>
  <phoneticPr fontId="8" type="noConversion"/>
  <conditionalFormatting sqref="G7 C157:G157 C19:G19 C24:G24 C29:G29 C67:F67 C76:G76 C85:F85 C94:G94 C103:G103 G112 G121 C130:G130 C139:G139 C184:F184 C166:F166 G175 C148:F148 C232:G232 C57:F57 C58">
    <cfRule type="cellIs" dxfId="67" priority="27" stopIfTrue="1" operator="equal">
      <formula>"Fail"</formula>
    </cfRule>
    <cfRule type="cellIs" dxfId="66" priority="28" stopIfTrue="1" operator="equal">
      <formula>"Pass"</formula>
    </cfRule>
  </conditionalFormatting>
  <conditionalFormatting sqref="C246:G246">
    <cfRule type="cellIs" dxfId="65" priority="25" stopIfTrue="1" operator="equal">
      <formula>"Fail"</formula>
    </cfRule>
    <cfRule type="cellIs" dxfId="64" priority="26" stopIfTrue="1" operator="equal">
      <formula>"Pass"</formula>
    </cfRule>
  </conditionalFormatting>
  <conditionalFormatting sqref="C255:G255">
    <cfRule type="cellIs" dxfId="63" priority="23" stopIfTrue="1" operator="equal">
      <formula>"Fail"</formula>
    </cfRule>
    <cfRule type="cellIs" dxfId="62" priority="24" stopIfTrue="1" operator="equal">
      <formula>"Pass"</formula>
    </cfRule>
  </conditionalFormatting>
  <conditionalFormatting sqref="C10">
    <cfRule type="cellIs" dxfId="61" priority="19" stopIfTrue="1" operator="equal">
      <formula>"Fail"</formula>
    </cfRule>
    <cfRule type="cellIs" dxfId="60" priority="20" stopIfTrue="1" operator="equal">
      <formula>"Pass"</formula>
    </cfRule>
  </conditionalFormatting>
  <conditionalFormatting sqref="C12">
    <cfRule type="cellIs" dxfId="59" priority="17" stopIfTrue="1" operator="equal">
      <formula>"Fail"</formula>
    </cfRule>
    <cfRule type="cellIs" dxfId="58" priority="18" stopIfTrue="1" operator="equal">
      <formula>"Pass"</formula>
    </cfRule>
  </conditionalFormatting>
  <conditionalFormatting sqref="C14">
    <cfRule type="cellIs" dxfId="57" priority="15" stopIfTrue="1" operator="equal">
      <formula>"Fail"</formula>
    </cfRule>
    <cfRule type="cellIs" dxfId="56" priority="16" stopIfTrue="1" operator="equal">
      <formula>"Pass"</formula>
    </cfRule>
  </conditionalFormatting>
  <conditionalFormatting sqref="C18">
    <cfRule type="cellIs" dxfId="55" priority="13" stopIfTrue="1" operator="equal">
      <formula>"Fail"</formula>
    </cfRule>
    <cfRule type="cellIs" dxfId="54" priority="14" stopIfTrue="1" operator="equal">
      <formula>"Pass"</formula>
    </cfRule>
  </conditionalFormatting>
  <conditionalFormatting sqref="C17">
    <cfRule type="cellIs" dxfId="53" priority="11" stopIfTrue="1" operator="equal">
      <formula>"Fail"</formula>
    </cfRule>
    <cfRule type="cellIs" dxfId="52" priority="12" stopIfTrue="1" operator="equal">
      <formula>"Pass"</formula>
    </cfRule>
  </conditionalFormatting>
  <conditionalFormatting sqref="C23">
    <cfRule type="cellIs" dxfId="51" priority="9" stopIfTrue="1" operator="equal">
      <formula>"Fail"</formula>
    </cfRule>
    <cfRule type="cellIs" dxfId="50" priority="10" stopIfTrue="1" operator="equal">
      <formula>"Pass"</formula>
    </cfRule>
  </conditionalFormatting>
  <conditionalFormatting sqref="C22">
    <cfRule type="cellIs" dxfId="49" priority="7" stopIfTrue="1" operator="equal">
      <formula>"Fail"</formula>
    </cfRule>
    <cfRule type="cellIs" dxfId="48" priority="8" stopIfTrue="1" operator="equal">
      <formula>"Pass"</formula>
    </cfRule>
  </conditionalFormatting>
  <conditionalFormatting sqref="C28">
    <cfRule type="cellIs" dxfId="47" priority="5" stopIfTrue="1" operator="equal">
      <formula>"Fail"</formula>
    </cfRule>
    <cfRule type="cellIs" dxfId="46" priority="6" stopIfTrue="1" operator="equal">
      <formula>"Pass"</formula>
    </cfRule>
  </conditionalFormatting>
  <conditionalFormatting sqref="C27">
    <cfRule type="cellIs" dxfId="45" priority="3" stopIfTrue="1" operator="equal">
      <formula>"Fail"</formula>
    </cfRule>
    <cfRule type="cellIs" dxfId="44" priority="4" stopIfTrue="1" operator="equal">
      <formula>"Pass"</formula>
    </cfRule>
  </conditionalFormatting>
  <conditionalFormatting sqref="C31">
    <cfRule type="cellIs" dxfId="43" priority="1" stopIfTrue="1" operator="equal">
      <formula>"Fail"</formula>
    </cfRule>
    <cfRule type="cellIs" dxfId="42" priority="2"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42" max="14" man="1"/>
    <brk id="85" max="14" man="1"/>
    <brk id="130" max="14" man="1"/>
    <brk id="175" max="14" man="1"/>
    <brk id="209" max="14" man="1"/>
    <brk id="233"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76"/>
  <sheetViews>
    <sheetView topLeftCell="A10" zoomScale="70" zoomScaleNormal="70" zoomScaleSheetLayoutView="75" workbookViewId="0">
      <selection activeCell="S28" sqref="S28"/>
    </sheetView>
  </sheetViews>
  <sheetFormatPr defaultColWidth="8.85546875" defaultRowHeight="15" customHeight="1" x14ac:dyDescent="0.2"/>
  <cols>
    <col min="1" max="1" width="1.7109375" style="28" customWidth="1"/>
    <col min="2" max="2" width="48.7109375" style="28" customWidth="1"/>
    <col min="3" max="3" width="12.7109375" style="28" customWidth="1"/>
    <col min="4" max="4" width="14.7109375" customWidth="1"/>
    <col min="5" max="10" width="16.7109375" customWidth="1"/>
    <col min="11" max="12" width="14.7109375" customWidth="1"/>
    <col min="13" max="14" width="15.7109375" customWidth="1"/>
    <col min="15" max="15" width="12.7109375" customWidth="1"/>
    <col min="16" max="25" width="15.7109375" customWidth="1"/>
    <col min="26" max="26" width="36.5703125" customWidth="1"/>
    <col min="27" max="27" width="1.7109375" customWidth="1"/>
  </cols>
  <sheetData>
    <row r="1" spans="1:28" ht="30" customHeight="1" x14ac:dyDescent="0.4">
      <c r="A1" s="263" t="s">
        <v>1058</v>
      </c>
      <c r="B1" s="67"/>
      <c r="C1" s="755"/>
      <c r="D1" s="61"/>
      <c r="E1" s="61"/>
      <c r="F1" s="61"/>
      <c r="G1" s="61"/>
      <c r="H1" s="61"/>
      <c r="I1" s="61"/>
      <c r="J1" s="61"/>
      <c r="K1" s="61"/>
      <c r="L1" s="61"/>
      <c r="M1" s="782"/>
      <c r="N1" s="782"/>
      <c r="O1" s="782"/>
      <c r="P1" s="61"/>
      <c r="Q1" s="61"/>
      <c r="R1" s="61"/>
      <c r="S1" s="61"/>
      <c r="T1" s="61"/>
      <c r="U1" s="61"/>
      <c r="V1" s="61"/>
      <c r="W1" s="61"/>
      <c r="X1" s="61"/>
      <c r="Y1" s="782"/>
      <c r="Z1" s="782"/>
      <c r="AA1" s="783"/>
      <c r="AB1" s="800"/>
    </row>
    <row r="2" spans="1:28" ht="30" customHeight="1" x14ac:dyDescent="0.4">
      <c r="A2" s="756" t="s">
        <v>1059</v>
      </c>
      <c r="B2" s="63"/>
      <c r="C2" s="68"/>
      <c r="D2" s="49"/>
      <c r="E2" s="49"/>
      <c r="F2" s="49"/>
      <c r="G2" s="49"/>
      <c r="H2" s="49"/>
      <c r="I2" s="49"/>
      <c r="J2" s="49"/>
      <c r="K2" s="49"/>
      <c r="L2" s="49"/>
      <c r="M2" s="757"/>
      <c r="N2" s="757"/>
      <c r="O2" s="757"/>
      <c r="P2" s="49"/>
      <c r="Q2" s="49"/>
      <c r="R2" s="49"/>
      <c r="S2" s="49"/>
      <c r="T2" s="49"/>
      <c r="U2" s="49"/>
      <c r="V2" s="49"/>
      <c r="W2" s="49"/>
      <c r="X2" s="49"/>
      <c r="Y2" s="757"/>
      <c r="Z2" s="757"/>
      <c r="AA2" s="758"/>
      <c r="AB2" s="800"/>
    </row>
    <row r="3" spans="1:28" ht="15" customHeight="1" x14ac:dyDescent="0.25">
      <c r="A3" s="44"/>
      <c r="B3" s="33"/>
      <c r="C3" s="34"/>
      <c r="D3" s="50"/>
      <c r="E3" s="50"/>
      <c r="F3" s="50"/>
      <c r="G3" s="50"/>
      <c r="H3" s="50"/>
      <c r="I3" s="50"/>
      <c r="J3" s="50"/>
      <c r="K3" s="25"/>
      <c r="L3" s="25"/>
      <c r="M3" s="759"/>
      <c r="N3" s="759"/>
      <c r="O3" s="759"/>
      <c r="P3" s="25"/>
      <c r="Q3" s="25"/>
      <c r="R3" s="25"/>
      <c r="S3" s="25"/>
      <c r="T3" s="25"/>
      <c r="U3" s="25"/>
      <c r="V3" s="25"/>
      <c r="W3" s="25"/>
      <c r="X3" s="25"/>
      <c r="Y3" s="759"/>
      <c r="Z3" s="759"/>
      <c r="AA3" s="760"/>
      <c r="AB3" s="800"/>
    </row>
    <row r="4" spans="1:28" ht="90" customHeight="1" x14ac:dyDescent="0.2">
      <c r="A4" s="27"/>
      <c r="B4" s="271"/>
      <c r="C4" s="878" t="s">
        <v>1060</v>
      </c>
      <c r="D4" s="878" t="s">
        <v>1061</v>
      </c>
      <c r="E4" s="879" t="s">
        <v>1062</v>
      </c>
      <c r="F4" s="880"/>
      <c r="G4" s="880"/>
      <c r="H4" s="880"/>
      <c r="I4" s="881"/>
      <c r="J4" s="821" t="s">
        <v>1063</v>
      </c>
      <c r="K4" s="877" t="s">
        <v>1064</v>
      </c>
      <c r="L4" s="807" t="str">
        <f>"Number of legal entities of the banking group in which the exposures of column " &amp; LEFT(ADDRESS(1,COLUMN(K1),4),1) &amp; " are booked"</f>
        <v>Number of legal entities of the banking group in which the exposures of column K are booked</v>
      </c>
      <c r="M4" s="807" t="s">
        <v>1066</v>
      </c>
      <c r="N4" s="807" t="s">
        <v>1067</v>
      </c>
      <c r="O4" s="807" t="s">
        <v>1116</v>
      </c>
      <c r="P4" s="871" t="s">
        <v>1065</v>
      </c>
      <c r="Q4" s="872"/>
      <c r="R4" s="872"/>
      <c r="S4" s="872"/>
      <c r="T4" s="872"/>
      <c r="U4" s="872"/>
      <c r="V4" s="872"/>
      <c r="W4" s="873"/>
      <c r="X4" s="873"/>
      <c r="Y4" s="874"/>
      <c r="Z4" s="875" t="s">
        <v>1068</v>
      </c>
      <c r="AA4" s="760"/>
      <c r="AB4" s="800"/>
    </row>
    <row r="5" spans="1:28" ht="30" customHeight="1" x14ac:dyDescent="0.2">
      <c r="A5" s="27"/>
      <c r="B5" s="29"/>
      <c r="C5" s="878"/>
      <c r="D5" s="878"/>
      <c r="E5" s="761" t="s">
        <v>1069</v>
      </c>
      <c r="F5" s="761">
        <v>2014</v>
      </c>
      <c r="G5" s="761">
        <v>2015</v>
      </c>
      <c r="H5" s="761">
        <v>2016</v>
      </c>
      <c r="I5" s="761" t="s">
        <v>1070</v>
      </c>
      <c r="J5" s="822"/>
      <c r="K5" s="877"/>
      <c r="L5" s="808"/>
      <c r="M5" s="808"/>
      <c r="N5" s="808"/>
      <c r="O5" s="808"/>
      <c r="P5" s="762">
        <v>0</v>
      </c>
      <c r="Q5" s="752" t="s">
        <v>1071</v>
      </c>
      <c r="R5" s="752" t="s">
        <v>1072</v>
      </c>
      <c r="S5" s="752" t="s">
        <v>1073</v>
      </c>
      <c r="T5" s="752" t="s">
        <v>1074</v>
      </c>
      <c r="U5" s="752" t="s">
        <v>1075</v>
      </c>
      <c r="V5" s="752" t="s">
        <v>1076</v>
      </c>
      <c r="W5" s="752" t="s">
        <v>1077</v>
      </c>
      <c r="X5" s="752" t="s">
        <v>1078</v>
      </c>
      <c r="Y5" s="752" t="s">
        <v>1079</v>
      </c>
      <c r="Z5" s="876"/>
      <c r="AA5" s="760"/>
      <c r="AB5" s="800"/>
    </row>
    <row r="6" spans="1:28" ht="15" customHeight="1" x14ac:dyDescent="0.2">
      <c r="A6" s="27"/>
      <c r="B6" s="763" t="s">
        <v>577</v>
      </c>
      <c r="C6" s="656" t="str">
        <f>IF(AND(ISNUMBER(#REF!),ISNUMBER(#REF!)),SUM(C7:C7),"")</f>
        <v/>
      </c>
      <c r="D6" s="656" t="str">
        <f>IF(AND(ISNUMBER(#REF!),ISNUMBER(#REF!)),SUM(D7:D7),"")</f>
        <v/>
      </c>
      <c r="E6" s="656"/>
      <c r="F6" s="656"/>
      <c r="G6" s="656"/>
      <c r="H6" s="656"/>
      <c r="I6" s="656"/>
      <c r="J6" s="656" t="str">
        <f>IF(AND(ISNUMBER(#REF!),ISNUMBER(#REF!)),SUM(J7:J7),"")</f>
        <v/>
      </c>
      <c r="K6" s="796"/>
      <c r="L6" s="795"/>
      <c r="M6" s="764"/>
      <c r="N6" s="795"/>
      <c r="O6" s="656" t="str">
        <f>IF(AND(ISNUMBER(#REF!),ISNUMBER(#REF!)),SUM(O7:O7),"")</f>
        <v/>
      </c>
      <c r="P6" s="656" t="str">
        <f>IF(AND(ISNUMBER(#REF!),ISNUMBER(#REF!)),SUM(P7:P7),"")</f>
        <v/>
      </c>
      <c r="Q6" s="656" t="str">
        <f>IF(AND(ISNUMBER(#REF!),ISNUMBER(#REF!)),SUM(Q7:Q7),"")</f>
        <v/>
      </c>
      <c r="R6" s="656" t="str">
        <f>IF(AND(ISNUMBER(#REF!),ISNUMBER(#REF!)),SUM(R7:R7),"")</f>
        <v/>
      </c>
      <c r="S6" s="656" t="str">
        <f>IF(AND(ISNUMBER(#REF!),ISNUMBER(#REF!)),SUM(S7:S7),"")</f>
        <v/>
      </c>
      <c r="T6" s="656" t="str">
        <f>IF(AND(ISNUMBER(#REF!),ISNUMBER(#REF!)),SUM(T7:T7),"")</f>
        <v/>
      </c>
      <c r="U6" s="656" t="str">
        <f>IF(AND(ISNUMBER(#REF!),ISNUMBER(#REF!)),SUM(U7:U7),"")</f>
        <v/>
      </c>
      <c r="V6" s="656" t="str">
        <f>IF(AND(ISNUMBER(#REF!),ISNUMBER(#REF!)),SUM(V7:V7),"")</f>
        <v/>
      </c>
      <c r="W6" s="656" t="str">
        <f>IF(AND(ISNUMBER(#REF!),ISNUMBER(#REF!)),SUM(W7:W7),"")</f>
        <v/>
      </c>
      <c r="X6" s="656" t="str">
        <f>IF(AND(ISNUMBER(#REF!),ISNUMBER(#REF!)),SUM(X7:X7),"")</f>
        <v/>
      </c>
      <c r="Y6" s="656" t="str">
        <f>IF(AND(ISNUMBER(#REF!),ISNUMBER(#REF!)),SUM(Y7:Y7),"")</f>
        <v/>
      </c>
      <c r="Z6" s="797"/>
      <c r="AA6" s="760"/>
      <c r="AB6" s="800"/>
    </row>
    <row r="7" spans="1:28" s="22" customFormat="1" ht="15" customHeight="1" x14ac:dyDescent="0.2">
      <c r="A7" s="123"/>
      <c r="B7" s="864" t="s">
        <v>504</v>
      </c>
      <c r="C7" s="765" t="s">
        <v>1080</v>
      </c>
      <c r="D7" s="377"/>
      <c r="E7" s="656"/>
      <c r="F7" s="656"/>
      <c r="G7" s="656"/>
      <c r="H7" s="656"/>
      <c r="I7" s="656"/>
      <c r="J7" s="377"/>
      <c r="K7" s="796"/>
      <c r="L7" s="795"/>
      <c r="M7" s="764"/>
      <c r="N7" s="795"/>
      <c r="O7" s="78" t="str">
        <f t="shared" ref="O7:O38" si="0">IF(SUM(P7:Y7)=J7,"Yes","No")</f>
        <v>Yes</v>
      </c>
      <c r="P7" s="764"/>
      <c r="Q7" s="764"/>
      <c r="R7" s="764"/>
      <c r="S7" s="766"/>
      <c r="T7" s="764"/>
      <c r="U7" s="766"/>
      <c r="V7" s="764"/>
      <c r="W7" s="764"/>
      <c r="X7" s="764"/>
      <c r="Y7" s="764"/>
      <c r="Z7" s="797"/>
      <c r="AA7" s="24"/>
      <c r="AB7" s="710"/>
    </row>
    <row r="8" spans="1:28" s="22" customFormat="1" ht="15" customHeight="1" x14ac:dyDescent="0.2">
      <c r="A8" s="123"/>
      <c r="B8" s="865"/>
      <c r="C8" s="767" t="s">
        <v>1081</v>
      </c>
      <c r="D8" s="768"/>
      <c r="E8" s="768"/>
      <c r="F8" s="768"/>
      <c r="G8" s="768"/>
      <c r="H8" s="768"/>
      <c r="I8" s="768"/>
      <c r="J8" s="768"/>
      <c r="K8" s="796"/>
      <c r="L8" s="795"/>
      <c r="M8" s="764"/>
      <c r="N8" s="795"/>
      <c r="O8" s="78" t="str">
        <f t="shared" si="0"/>
        <v>Yes</v>
      </c>
      <c r="P8" s="766"/>
      <c r="Q8" s="766"/>
      <c r="R8" s="764"/>
      <c r="S8" s="766"/>
      <c r="T8" s="764"/>
      <c r="U8" s="766"/>
      <c r="V8" s="764"/>
      <c r="W8" s="764"/>
      <c r="X8" s="764"/>
      <c r="Y8" s="764"/>
      <c r="Z8" s="797"/>
      <c r="AA8" s="24"/>
      <c r="AB8" s="710"/>
    </row>
    <row r="9" spans="1:28" s="22" customFormat="1" ht="15" customHeight="1" x14ac:dyDescent="0.2">
      <c r="A9" s="123"/>
      <c r="B9" s="869" t="s">
        <v>1082</v>
      </c>
      <c r="C9" s="765" t="s">
        <v>1080</v>
      </c>
      <c r="D9" s="795"/>
      <c r="E9" s="656"/>
      <c r="F9" s="656"/>
      <c r="G9" s="656"/>
      <c r="H9" s="656"/>
      <c r="I9" s="656"/>
      <c r="J9" s="795"/>
      <c r="K9" s="423"/>
      <c r="L9" s="795"/>
      <c r="M9" s="795"/>
      <c r="N9" s="795"/>
      <c r="O9" s="78" t="str">
        <f t="shared" si="0"/>
        <v>Yes</v>
      </c>
      <c r="P9" s="795"/>
      <c r="Q9" s="795"/>
      <c r="R9" s="795"/>
      <c r="S9" s="795"/>
      <c r="T9" s="795"/>
      <c r="U9" s="795"/>
      <c r="V9" s="795"/>
      <c r="W9" s="795"/>
      <c r="X9" s="795"/>
      <c r="Y9" s="795"/>
      <c r="Z9" s="798"/>
      <c r="AA9" s="24"/>
      <c r="AB9" s="710"/>
    </row>
    <row r="10" spans="1:28" s="22" customFormat="1" ht="15" customHeight="1" x14ac:dyDescent="0.2">
      <c r="A10" s="123"/>
      <c r="B10" s="870"/>
      <c r="C10" s="767" t="s">
        <v>1081</v>
      </c>
      <c r="D10" s="795"/>
      <c r="E10" s="795"/>
      <c r="F10" s="795"/>
      <c r="G10" s="795"/>
      <c r="H10" s="795"/>
      <c r="I10" s="795"/>
      <c r="J10" s="795"/>
      <c r="K10" s="423"/>
      <c r="L10" s="795"/>
      <c r="M10" s="795"/>
      <c r="N10" s="795"/>
      <c r="O10" s="78" t="str">
        <f t="shared" si="0"/>
        <v>Yes</v>
      </c>
      <c r="P10" s="795"/>
      <c r="Q10" s="795"/>
      <c r="R10" s="795"/>
      <c r="S10" s="795"/>
      <c r="T10" s="795"/>
      <c r="U10" s="795"/>
      <c r="V10" s="795"/>
      <c r="W10" s="795"/>
      <c r="X10" s="795"/>
      <c r="Y10" s="795"/>
      <c r="Z10" s="798"/>
      <c r="AA10" s="24"/>
      <c r="AB10" s="710"/>
    </row>
    <row r="11" spans="1:28" s="22" customFormat="1" ht="15" customHeight="1" x14ac:dyDescent="0.2">
      <c r="A11" s="123"/>
      <c r="B11" s="869" t="s">
        <v>1083</v>
      </c>
      <c r="C11" s="765" t="s">
        <v>1080</v>
      </c>
      <c r="D11" s="795"/>
      <c r="E11" s="656"/>
      <c r="F11" s="656"/>
      <c r="G11" s="656"/>
      <c r="H11" s="656"/>
      <c r="I11" s="656"/>
      <c r="J11" s="795"/>
      <c r="K11" s="423"/>
      <c r="L11" s="795"/>
      <c r="M11" s="795"/>
      <c r="N11" s="795"/>
      <c r="O11" s="78" t="str">
        <f t="shared" si="0"/>
        <v>Yes</v>
      </c>
      <c r="P11" s="795"/>
      <c r="Q11" s="795"/>
      <c r="R11" s="795"/>
      <c r="S11" s="795"/>
      <c r="T11" s="795"/>
      <c r="U11" s="795"/>
      <c r="V11" s="795"/>
      <c r="W11" s="795"/>
      <c r="X11" s="795"/>
      <c r="Y11" s="795"/>
      <c r="Z11" s="798"/>
      <c r="AA11" s="24"/>
      <c r="AB11" s="710"/>
    </row>
    <row r="12" spans="1:28" s="22" customFormat="1" ht="15" customHeight="1" x14ac:dyDescent="0.2">
      <c r="A12" s="123"/>
      <c r="B12" s="870"/>
      <c r="C12" s="767" t="s">
        <v>1081</v>
      </c>
      <c r="D12" s="795"/>
      <c r="E12" s="795"/>
      <c r="F12" s="795"/>
      <c r="G12" s="795"/>
      <c r="H12" s="795"/>
      <c r="I12" s="795"/>
      <c r="J12" s="795"/>
      <c r="K12" s="423"/>
      <c r="L12" s="795"/>
      <c r="M12" s="795"/>
      <c r="N12" s="795"/>
      <c r="O12" s="78" t="str">
        <f t="shared" si="0"/>
        <v>Yes</v>
      </c>
      <c r="P12" s="795"/>
      <c r="Q12" s="795"/>
      <c r="R12" s="795"/>
      <c r="S12" s="795"/>
      <c r="T12" s="795"/>
      <c r="U12" s="795"/>
      <c r="V12" s="795"/>
      <c r="W12" s="795"/>
      <c r="X12" s="795"/>
      <c r="Y12" s="795"/>
      <c r="Z12" s="798"/>
      <c r="AA12" s="24"/>
      <c r="AB12" s="710"/>
    </row>
    <row r="13" spans="1:28" s="22" customFormat="1" ht="15" customHeight="1" x14ac:dyDescent="0.2">
      <c r="A13" s="123"/>
      <c r="B13" s="867" t="s">
        <v>1084</v>
      </c>
      <c r="C13" s="765" t="s">
        <v>1080</v>
      </c>
      <c r="D13" s="795"/>
      <c r="E13" s="656"/>
      <c r="F13" s="656"/>
      <c r="G13" s="656"/>
      <c r="H13" s="656"/>
      <c r="I13" s="656"/>
      <c r="J13" s="795"/>
      <c r="K13" s="423"/>
      <c r="L13" s="795"/>
      <c r="M13" s="795"/>
      <c r="N13" s="795"/>
      <c r="O13" s="78" t="str">
        <f t="shared" si="0"/>
        <v>Yes</v>
      </c>
      <c r="P13" s="795"/>
      <c r="Q13" s="795"/>
      <c r="R13" s="795"/>
      <c r="S13" s="795"/>
      <c r="T13" s="795"/>
      <c r="U13" s="795"/>
      <c r="V13" s="795"/>
      <c r="W13" s="795"/>
      <c r="X13" s="795"/>
      <c r="Y13" s="795"/>
      <c r="Z13" s="798"/>
      <c r="AA13" s="24"/>
      <c r="AB13" s="710"/>
    </row>
    <row r="14" spans="1:28" s="22" customFormat="1" ht="15" customHeight="1" x14ac:dyDescent="0.2">
      <c r="A14" s="123"/>
      <c r="B14" s="868"/>
      <c r="C14" s="767" t="s">
        <v>1081</v>
      </c>
      <c r="D14" s="795"/>
      <c r="E14" s="795"/>
      <c r="F14" s="795"/>
      <c r="G14" s="795"/>
      <c r="H14" s="795"/>
      <c r="I14" s="795"/>
      <c r="J14" s="795"/>
      <c r="K14" s="423"/>
      <c r="L14" s="795"/>
      <c r="M14" s="795"/>
      <c r="N14" s="795"/>
      <c r="O14" s="78" t="str">
        <f t="shared" si="0"/>
        <v>Yes</v>
      </c>
      <c r="P14" s="795"/>
      <c r="Q14" s="795"/>
      <c r="R14" s="795"/>
      <c r="S14" s="795"/>
      <c r="T14" s="795"/>
      <c r="U14" s="795"/>
      <c r="V14" s="795"/>
      <c r="W14" s="795"/>
      <c r="X14" s="795"/>
      <c r="Y14" s="795"/>
      <c r="Z14" s="798"/>
      <c r="AA14" s="24"/>
      <c r="AB14" s="710"/>
    </row>
    <row r="15" spans="1:28" s="22" customFormat="1" ht="15" customHeight="1" x14ac:dyDescent="0.2">
      <c r="A15" s="123"/>
      <c r="B15" s="869" t="s">
        <v>1085</v>
      </c>
      <c r="C15" s="765" t="s">
        <v>1080</v>
      </c>
      <c r="D15" s="795"/>
      <c r="E15" s="656"/>
      <c r="F15" s="656"/>
      <c r="G15" s="656"/>
      <c r="H15" s="656"/>
      <c r="I15" s="656"/>
      <c r="J15" s="795"/>
      <c r="K15" s="423"/>
      <c r="L15" s="795"/>
      <c r="M15" s="795"/>
      <c r="N15" s="795"/>
      <c r="O15" s="78" t="str">
        <f t="shared" si="0"/>
        <v>Yes</v>
      </c>
      <c r="P15" s="795"/>
      <c r="Q15" s="795"/>
      <c r="R15" s="795"/>
      <c r="S15" s="795"/>
      <c r="T15" s="795"/>
      <c r="U15" s="795"/>
      <c r="V15" s="795"/>
      <c r="W15" s="795"/>
      <c r="X15" s="795"/>
      <c r="Y15" s="795"/>
      <c r="Z15" s="798"/>
      <c r="AA15" s="24"/>
      <c r="AB15" s="710"/>
    </row>
    <row r="16" spans="1:28" s="22" customFormat="1" ht="15" customHeight="1" x14ac:dyDescent="0.2">
      <c r="A16" s="123"/>
      <c r="B16" s="870"/>
      <c r="C16" s="767" t="s">
        <v>1081</v>
      </c>
      <c r="D16" s="795"/>
      <c r="E16" s="795"/>
      <c r="F16" s="795"/>
      <c r="G16" s="795"/>
      <c r="H16" s="795"/>
      <c r="I16" s="795"/>
      <c r="J16" s="795"/>
      <c r="K16" s="423"/>
      <c r="L16" s="795"/>
      <c r="M16" s="795"/>
      <c r="N16" s="795"/>
      <c r="O16" s="78" t="str">
        <f t="shared" si="0"/>
        <v>Yes</v>
      </c>
      <c r="P16" s="795"/>
      <c r="Q16" s="795"/>
      <c r="R16" s="795"/>
      <c r="S16" s="795"/>
      <c r="T16" s="795"/>
      <c r="U16" s="795"/>
      <c r="V16" s="795"/>
      <c r="W16" s="795"/>
      <c r="X16" s="795"/>
      <c r="Y16" s="795"/>
      <c r="Z16" s="798"/>
      <c r="AA16" s="24"/>
      <c r="AB16" s="710"/>
    </row>
    <row r="17" spans="1:28" s="22" customFormat="1" ht="15" customHeight="1" x14ac:dyDescent="0.2">
      <c r="A17" s="123"/>
      <c r="B17" s="867" t="s">
        <v>1086</v>
      </c>
      <c r="C17" s="765" t="s">
        <v>1080</v>
      </c>
      <c r="D17" s="795"/>
      <c r="E17" s="656"/>
      <c r="F17" s="656"/>
      <c r="G17" s="656"/>
      <c r="H17" s="656"/>
      <c r="I17" s="656"/>
      <c r="J17" s="795"/>
      <c r="K17" s="423"/>
      <c r="L17" s="795"/>
      <c r="M17" s="795"/>
      <c r="N17" s="795"/>
      <c r="O17" s="78" t="str">
        <f t="shared" si="0"/>
        <v>Yes</v>
      </c>
      <c r="P17" s="795"/>
      <c r="Q17" s="795"/>
      <c r="R17" s="795"/>
      <c r="S17" s="795"/>
      <c r="T17" s="795"/>
      <c r="U17" s="795"/>
      <c r="V17" s="795"/>
      <c r="W17" s="795"/>
      <c r="X17" s="795"/>
      <c r="Y17" s="795"/>
      <c r="Z17" s="798"/>
      <c r="AA17" s="24"/>
      <c r="AB17" s="710"/>
    </row>
    <row r="18" spans="1:28" s="22" customFormat="1" ht="15" customHeight="1" x14ac:dyDescent="0.2">
      <c r="A18" s="123"/>
      <c r="B18" s="868"/>
      <c r="C18" s="767" t="s">
        <v>1081</v>
      </c>
      <c r="D18" s="795"/>
      <c r="E18" s="795"/>
      <c r="F18" s="795"/>
      <c r="G18" s="795"/>
      <c r="H18" s="795"/>
      <c r="I18" s="795"/>
      <c r="J18" s="795"/>
      <c r="K18" s="423"/>
      <c r="L18" s="795"/>
      <c r="M18" s="795"/>
      <c r="N18" s="795"/>
      <c r="O18" s="78" t="str">
        <f t="shared" si="0"/>
        <v>Yes</v>
      </c>
      <c r="P18" s="795"/>
      <c r="Q18" s="795"/>
      <c r="R18" s="795"/>
      <c r="S18" s="795"/>
      <c r="T18" s="795"/>
      <c r="U18" s="795"/>
      <c r="V18" s="795"/>
      <c r="W18" s="795"/>
      <c r="X18" s="795"/>
      <c r="Y18" s="795"/>
      <c r="Z18" s="798"/>
      <c r="AA18" s="24"/>
      <c r="AB18" s="710"/>
    </row>
    <row r="19" spans="1:28" s="22" customFormat="1" ht="15" customHeight="1" x14ac:dyDescent="0.2">
      <c r="A19" s="123"/>
      <c r="B19" s="864" t="s">
        <v>1087</v>
      </c>
      <c r="C19" s="765" t="s">
        <v>1080</v>
      </c>
      <c r="D19" s="377"/>
      <c r="E19" s="656"/>
      <c r="F19" s="656"/>
      <c r="G19" s="656"/>
      <c r="H19" s="656"/>
      <c r="I19" s="656"/>
      <c r="J19" s="377"/>
      <c r="K19" s="796"/>
      <c r="L19" s="795"/>
      <c r="M19" s="764"/>
      <c r="N19" s="795"/>
      <c r="O19" s="78" t="str">
        <f t="shared" si="0"/>
        <v>Yes</v>
      </c>
      <c r="P19" s="766"/>
      <c r="Q19" s="766"/>
      <c r="R19" s="764"/>
      <c r="S19" s="766"/>
      <c r="T19" s="764"/>
      <c r="U19" s="766"/>
      <c r="V19" s="764"/>
      <c r="W19" s="764"/>
      <c r="X19" s="764"/>
      <c r="Y19" s="764"/>
      <c r="Z19" s="797"/>
      <c r="AA19" s="24"/>
      <c r="AB19" s="710"/>
    </row>
    <row r="20" spans="1:28" s="22" customFormat="1" ht="15" customHeight="1" x14ac:dyDescent="0.2">
      <c r="A20" s="123"/>
      <c r="B20" s="865"/>
      <c r="C20" s="767" t="s">
        <v>1081</v>
      </c>
      <c r="D20" s="768"/>
      <c r="E20" s="768"/>
      <c r="F20" s="768"/>
      <c r="G20" s="768"/>
      <c r="H20" s="768"/>
      <c r="I20" s="768"/>
      <c r="J20" s="768"/>
      <c r="K20" s="796"/>
      <c r="L20" s="795"/>
      <c r="M20" s="764"/>
      <c r="N20" s="795"/>
      <c r="O20" s="78" t="str">
        <f t="shared" si="0"/>
        <v>Yes</v>
      </c>
      <c r="P20" s="766"/>
      <c r="Q20" s="766"/>
      <c r="R20" s="764"/>
      <c r="S20" s="766"/>
      <c r="T20" s="764"/>
      <c r="U20" s="766"/>
      <c r="V20" s="764"/>
      <c r="W20" s="764"/>
      <c r="X20" s="764"/>
      <c r="Y20" s="764"/>
      <c r="Z20" s="797"/>
      <c r="AA20" s="24"/>
      <c r="AB20" s="710"/>
    </row>
    <row r="21" spans="1:28" s="22" customFormat="1" ht="15" customHeight="1" x14ac:dyDescent="0.2">
      <c r="A21" s="123"/>
      <c r="B21" s="869" t="s">
        <v>1088</v>
      </c>
      <c r="C21" s="765" t="s">
        <v>1080</v>
      </c>
      <c r="D21" s="795"/>
      <c r="E21" s="656"/>
      <c r="F21" s="656"/>
      <c r="G21" s="656"/>
      <c r="H21" s="656"/>
      <c r="I21" s="656"/>
      <c r="J21" s="795"/>
      <c r="K21" s="423"/>
      <c r="L21" s="795"/>
      <c r="M21" s="795"/>
      <c r="N21" s="795"/>
      <c r="O21" s="78" t="str">
        <f t="shared" si="0"/>
        <v>Yes</v>
      </c>
      <c r="P21" s="795"/>
      <c r="Q21" s="795"/>
      <c r="R21" s="795"/>
      <c r="S21" s="795"/>
      <c r="T21" s="795"/>
      <c r="U21" s="795"/>
      <c r="V21" s="795"/>
      <c r="W21" s="795"/>
      <c r="X21" s="795"/>
      <c r="Y21" s="795"/>
      <c r="Z21" s="798"/>
      <c r="AA21" s="24"/>
      <c r="AB21" s="710"/>
    </row>
    <row r="22" spans="1:28" s="22" customFormat="1" ht="15" customHeight="1" x14ac:dyDescent="0.2">
      <c r="A22" s="123"/>
      <c r="B22" s="870"/>
      <c r="C22" s="767" t="s">
        <v>1081</v>
      </c>
      <c r="D22" s="795"/>
      <c r="E22" s="795"/>
      <c r="F22" s="795"/>
      <c r="G22" s="795"/>
      <c r="H22" s="795"/>
      <c r="I22" s="795"/>
      <c r="J22" s="795"/>
      <c r="K22" s="423"/>
      <c r="L22" s="795"/>
      <c r="M22" s="795"/>
      <c r="N22" s="795"/>
      <c r="O22" s="78" t="str">
        <f t="shared" si="0"/>
        <v>Yes</v>
      </c>
      <c r="P22" s="795"/>
      <c r="Q22" s="795"/>
      <c r="R22" s="795"/>
      <c r="S22" s="795"/>
      <c r="T22" s="795"/>
      <c r="U22" s="795"/>
      <c r="V22" s="795"/>
      <c r="W22" s="795"/>
      <c r="X22" s="795"/>
      <c r="Y22" s="795"/>
      <c r="Z22" s="798"/>
      <c r="AA22" s="24"/>
      <c r="AB22" s="710"/>
    </row>
    <row r="23" spans="1:28" s="22" customFormat="1" ht="15" customHeight="1" x14ac:dyDescent="0.2">
      <c r="A23" s="123"/>
      <c r="B23" s="869" t="s">
        <v>1089</v>
      </c>
      <c r="C23" s="765" t="s">
        <v>1080</v>
      </c>
      <c r="D23" s="795"/>
      <c r="E23" s="656"/>
      <c r="F23" s="656"/>
      <c r="G23" s="656"/>
      <c r="H23" s="656"/>
      <c r="I23" s="656"/>
      <c r="J23" s="795"/>
      <c r="K23" s="423"/>
      <c r="L23" s="795"/>
      <c r="M23" s="795"/>
      <c r="N23" s="795"/>
      <c r="O23" s="78" t="str">
        <f t="shared" si="0"/>
        <v>Yes</v>
      </c>
      <c r="P23" s="795"/>
      <c r="Q23" s="795"/>
      <c r="R23" s="795"/>
      <c r="S23" s="795"/>
      <c r="T23" s="795"/>
      <c r="U23" s="795"/>
      <c r="V23" s="795"/>
      <c r="W23" s="795"/>
      <c r="X23" s="795"/>
      <c r="Y23" s="795"/>
      <c r="Z23" s="798"/>
      <c r="AA23" s="24"/>
      <c r="AB23" s="710"/>
    </row>
    <row r="24" spans="1:28" s="22" customFormat="1" ht="15" customHeight="1" x14ac:dyDescent="0.2">
      <c r="A24" s="123"/>
      <c r="B24" s="870"/>
      <c r="C24" s="767" t="s">
        <v>1081</v>
      </c>
      <c r="D24" s="795"/>
      <c r="E24" s="795"/>
      <c r="F24" s="795"/>
      <c r="G24" s="795"/>
      <c r="H24" s="795"/>
      <c r="I24" s="795"/>
      <c r="J24" s="795"/>
      <c r="K24" s="423"/>
      <c r="L24" s="795"/>
      <c r="M24" s="795"/>
      <c r="N24" s="795"/>
      <c r="O24" s="78" t="str">
        <f t="shared" si="0"/>
        <v>Yes</v>
      </c>
      <c r="P24" s="795"/>
      <c r="Q24" s="795"/>
      <c r="R24" s="795"/>
      <c r="S24" s="795"/>
      <c r="T24" s="795"/>
      <c r="U24" s="795"/>
      <c r="V24" s="795"/>
      <c r="W24" s="795"/>
      <c r="X24" s="795"/>
      <c r="Y24" s="795"/>
      <c r="Z24" s="798"/>
      <c r="AA24" s="24"/>
      <c r="AB24" s="710"/>
    </row>
    <row r="25" spans="1:28" s="22" customFormat="1" ht="15" customHeight="1" x14ac:dyDescent="0.2">
      <c r="A25" s="123"/>
      <c r="B25" s="869" t="s">
        <v>1090</v>
      </c>
      <c r="C25" s="765" t="s">
        <v>1080</v>
      </c>
      <c r="D25" s="795"/>
      <c r="E25" s="656"/>
      <c r="F25" s="656"/>
      <c r="G25" s="656"/>
      <c r="H25" s="656"/>
      <c r="I25" s="656"/>
      <c r="J25" s="795"/>
      <c r="K25" s="423"/>
      <c r="L25" s="795"/>
      <c r="M25" s="795"/>
      <c r="N25" s="795"/>
      <c r="O25" s="78" t="str">
        <f t="shared" si="0"/>
        <v>Yes</v>
      </c>
      <c r="P25" s="769"/>
      <c r="Q25" s="795"/>
      <c r="R25" s="795"/>
      <c r="S25" s="795"/>
      <c r="T25" s="795"/>
      <c r="U25" s="795"/>
      <c r="V25" s="795"/>
      <c r="W25" s="795"/>
      <c r="X25" s="795"/>
      <c r="Y25" s="795"/>
      <c r="Z25" s="798"/>
      <c r="AA25" s="24"/>
      <c r="AB25" s="710"/>
    </row>
    <row r="26" spans="1:28" s="22" customFormat="1" ht="15" customHeight="1" x14ac:dyDescent="0.2">
      <c r="A26" s="123"/>
      <c r="B26" s="870"/>
      <c r="C26" s="767" t="s">
        <v>1081</v>
      </c>
      <c r="D26" s="795"/>
      <c r="E26" s="795"/>
      <c r="F26" s="795"/>
      <c r="G26" s="795"/>
      <c r="H26" s="795"/>
      <c r="I26" s="795"/>
      <c r="J26" s="795"/>
      <c r="K26" s="423"/>
      <c r="L26" s="795"/>
      <c r="M26" s="795"/>
      <c r="N26" s="795"/>
      <c r="O26" s="78" t="str">
        <f t="shared" si="0"/>
        <v>Yes</v>
      </c>
      <c r="P26" s="656"/>
      <c r="Q26" s="795"/>
      <c r="R26" s="795"/>
      <c r="S26" s="795"/>
      <c r="T26" s="795"/>
      <c r="U26" s="795"/>
      <c r="V26" s="795"/>
      <c r="W26" s="795"/>
      <c r="X26" s="795"/>
      <c r="Y26" s="795"/>
      <c r="Z26" s="798"/>
      <c r="AA26" s="24"/>
      <c r="AB26" s="710"/>
    </row>
    <row r="27" spans="1:28" s="22" customFormat="1" ht="15" customHeight="1" x14ac:dyDescent="0.2">
      <c r="A27" s="123"/>
      <c r="B27" s="869" t="s">
        <v>1083</v>
      </c>
      <c r="C27" s="765" t="s">
        <v>1080</v>
      </c>
      <c r="D27" s="795"/>
      <c r="E27" s="656"/>
      <c r="F27" s="656"/>
      <c r="G27" s="656"/>
      <c r="H27" s="656"/>
      <c r="I27" s="656"/>
      <c r="J27" s="795"/>
      <c r="K27" s="423"/>
      <c r="L27" s="795"/>
      <c r="M27" s="795"/>
      <c r="N27" s="795"/>
      <c r="O27" s="78" t="str">
        <f t="shared" si="0"/>
        <v>Yes</v>
      </c>
      <c r="P27" s="769"/>
      <c r="Q27" s="795"/>
      <c r="R27" s="795"/>
      <c r="S27" s="795"/>
      <c r="T27" s="795"/>
      <c r="U27" s="795"/>
      <c r="V27" s="795"/>
      <c r="W27" s="795"/>
      <c r="X27" s="795"/>
      <c r="Y27" s="795"/>
      <c r="Z27" s="798"/>
      <c r="AA27" s="24"/>
      <c r="AB27" s="710"/>
    </row>
    <row r="28" spans="1:28" s="22" customFormat="1" ht="15" customHeight="1" x14ac:dyDescent="0.2">
      <c r="A28" s="123"/>
      <c r="B28" s="870"/>
      <c r="C28" s="767" t="s">
        <v>1081</v>
      </c>
      <c r="D28" s="795"/>
      <c r="E28" s="795"/>
      <c r="F28" s="795"/>
      <c r="G28" s="795"/>
      <c r="H28" s="795"/>
      <c r="I28" s="795"/>
      <c r="J28" s="795"/>
      <c r="K28" s="423"/>
      <c r="L28" s="795"/>
      <c r="M28" s="795"/>
      <c r="N28" s="795"/>
      <c r="O28" s="78" t="str">
        <f t="shared" si="0"/>
        <v>Yes</v>
      </c>
      <c r="P28" s="656"/>
      <c r="Q28" s="795"/>
      <c r="R28" s="795"/>
      <c r="S28" s="795"/>
      <c r="T28" s="795"/>
      <c r="U28" s="795"/>
      <c r="V28" s="795"/>
      <c r="W28" s="795"/>
      <c r="X28" s="795"/>
      <c r="Y28" s="795"/>
      <c r="Z28" s="798"/>
      <c r="AA28" s="24"/>
      <c r="AB28" s="710"/>
    </row>
    <row r="29" spans="1:28" s="22" customFormat="1" ht="15" customHeight="1" x14ac:dyDescent="0.2">
      <c r="A29" s="123"/>
      <c r="B29" s="867" t="s">
        <v>1084</v>
      </c>
      <c r="C29" s="765" t="s">
        <v>1080</v>
      </c>
      <c r="D29" s="795"/>
      <c r="E29" s="656"/>
      <c r="F29" s="656"/>
      <c r="G29" s="656"/>
      <c r="H29" s="656"/>
      <c r="I29" s="656"/>
      <c r="J29" s="795"/>
      <c r="K29" s="423"/>
      <c r="L29" s="795"/>
      <c r="M29" s="795"/>
      <c r="N29" s="795"/>
      <c r="O29" s="78" t="str">
        <f t="shared" si="0"/>
        <v>Yes</v>
      </c>
      <c r="P29" s="769"/>
      <c r="Q29" s="795"/>
      <c r="R29" s="795"/>
      <c r="S29" s="795"/>
      <c r="T29" s="795"/>
      <c r="U29" s="795"/>
      <c r="V29" s="795"/>
      <c r="W29" s="795"/>
      <c r="X29" s="795"/>
      <c r="Y29" s="795"/>
      <c r="Z29" s="798"/>
      <c r="AA29" s="24"/>
      <c r="AB29" s="710"/>
    </row>
    <row r="30" spans="1:28" s="22" customFormat="1" ht="15" customHeight="1" x14ac:dyDescent="0.2">
      <c r="A30" s="123"/>
      <c r="B30" s="868"/>
      <c r="C30" s="767" t="s">
        <v>1081</v>
      </c>
      <c r="D30" s="795"/>
      <c r="E30" s="795"/>
      <c r="F30" s="795"/>
      <c r="G30" s="795"/>
      <c r="H30" s="795"/>
      <c r="I30" s="795"/>
      <c r="J30" s="795"/>
      <c r="K30" s="423"/>
      <c r="L30" s="795"/>
      <c r="M30" s="795"/>
      <c r="N30" s="795"/>
      <c r="O30" s="78" t="str">
        <f t="shared" si="0"/>
        <v>Yes</v>
      </c>
      <c r="P30" s="656"/>
      <c r="Q30" s="795"/>
      <c r="R30" s="795"/>
      <c r="S30" s="795"/>
      <c r="T30" s="795"/>
      <c r="U30" s="795"/>
      <c r="V30" s="795"/>
      <c r="W30" s="795"/>
      <c r="X30" s="795"/>
      <c r="Y30" s="795"/>
      <c r="Z30" s="798"/>
      <c r="AA30" s="24"/>
      <c r="AB30" s="710"/>
    </row>
    <row r="31" spans="1:28" s="22" customFormat="1" ht="15" customHeight="1" x14ac:dyDescent="0.2">
      <c r="A31" s="123"/>
      <c r="B31" s="867" t="s">
        <v>1091</v>
      </c>
      <c r="C31" s="765" t="s">
        <v>1080</v>
      </c>
      <c r="D31" s="795"/>
      <c r="E31" s="656"/>
      <c r="F31" s="656"/>
      <c r="G31" s="656"/>
      <c r="H31" s="656"/>
      <c r="I31" s="656"/>
      <c r="J31" s="795"/>
      <c r="K31" s="423"/>
      <c r="L31" s="795"/>
      <c r="M31" s="795"/>
      <c r="N31" s="795"/>
      <c r="O31" s="78" t="str">
        <f t="shared" si="0"/>
        <v>Yes</v>
      </c>
      <c r="P31" s="769"/>
      <c r="Q31" s="795"/>
      <c r="R31" s="795"/>
      <c r="S31" s="795"/>
      <c r="T31" s="795"/>
      <c r="U31" s="795"/>
      <c r="V31" s="795"/>
      <c r="W31" s="795"/>
      <c r="X31" s="795"/>
      <c r="Y31" s="795"/>
      <c r="Z31" s="798"/>
      <c r="AA31" s="24"/>
      <c r="AB31" s="710"/>
    </row>
    <row r="32" spans="1:28" s="22" customFormat="1" ht="15" customHeight="1" x14ac:dyDescent="0.2">
      <c r="A32" s="123"/>
      <c r="B32" s="868"/>
      <c r="C32" s="767" t="s">
        <v>1081</v>
      </c>
      <c r="D32" s="795"/>
      <c r="E32" s="795"/>
      <c r="F32" s="795"/>
      <c r="G32" s="795"/>
      <c r="H32" s="795"/>
      <c r="I32" s="795"/>
      <c r="J32" s="795"/>
      <c r="K32" s="423"/>
      <c r="L32" s="795"/>
      <c r="M32" s="795"/>
      <c r="N32" s="795"/>
      <c r="O32" s="78" t="str">
        <f t="shared" si="0"/>
        <v>Yes</v>
      </c>
      <c r="P32" s="656"/>
      <c r="Q32" s="795"/>
      <c r="R32" s="795"/>
      <c r="S32" s="795"/>
      <c r="T32" s="795"/>
      <c r="U32" s="795"/>
      <c r="V32" s="795"/>
      <c r="W32" s="795"/>
      <c r="X32" s="795"/>
      <c r="Y32" s="795"/>
      <c r="Z32" s="798"/>
      <c r="AA32" s="24"/>
      <c r="AB32" s="710"/>
    </row>
    <row r="33" spans="1:28" s="22" customFormat="1" ht="15" customHeight="1" x14ac:dyDescent="0.2">
      <c r="A33" s="123"/>
      <c r="B33" s="864" t="s">
        <v>1092</v>
      </c>
      <c r="C33" s="765" t="s">
        <v>1080</v>
      </c>
      <c r="D33" s="377"/>
      <c r="E33" s="656"/>
      <c r="F33" s="656"/>
      <c r="G33" s="656"/>
      <c r="H33" s="656"/>
      <c r="I33" s="656"/>
      <c r="J33" s="377"/>
      <c r="K33" s="796"/>
      <c r="L33" s="795"/>
      <c r="M33" s="764"/>
      <c r="N33" s="795"/>
      <c r="O33" s="78" t="str">
        <f t="shared" si="0"/>
        <v>Yes</v>
      </c>
      <c r="P33" s="766"/>
      <c r="Q33" s="766"/>
      <c r="R33" s="764"/>
      <c r="S33" s="764"/>
      <c r="T33" s="764"/>
      <c r="U33" s="766"/>
      <c r="V33" s="764"/>
      <c r="W33" s="764"/>
      <c r="X33" s="764"/>
      <c r="Y33" s="764"/>
      <c r="Z33" s="797"/>
      <c r="AA33" s="24"/>
      <c r="AB33" s="710"/>
    </row>
    <row r="34" spans="1:28" s="22" customFormat="1" ht="15" customHeight="1" x14ac:dyDescent="0.2">
      <c r="A34" s="123"/>
      <c r="B34" s="865"/>
      <c r="C34" s="767" t="s">
        <v>1081</v>
      </c>
      <c r="D34" s="768"/>
      <c r="E34" s="768"/>
      <c r="F34" s="768"/>
      <c r="G34" s="768"/>
      <c r="H34" s="768"/>
      <c r="I34" s="768"/>
      <c r="J34" s="768"/>
      <c r="K34" s="796"/>
      <c r="L34" s="795"/>
      <c r="M34" s="764"/>
      <c r="N34" s="795"/>
      <c r="O34" s="78" t="str">
        <f t="shared" si="0"/>
        <v>Yes</v>
      </c>
      <c r="P34" s="766"/>
      <c r="Q34" s="766"/>
      <c r="R34" s="764"/>
      <c r="S34" s="764"/>
      <c r="T34" s="764"/>
      <c r="U34" s="766"/>
      <c r="V34" s="764"/>
      <c r="W34" s="764"/>
      <c r="X34" s="764"/>
      <c r="Y34" s="764"/>
      <c r="Z34" s="797"/>
      <c r="AA34" s="24"/>
      <c r="AB34" s="710"/>
    </row>
    <row r="35" spans="1:28" s="22" customFormat="1" ht="15" customHeight="1" x14ac:dyDescent="0.2">
      <c r="A35" s="123"/>
      <c r="B35" s="864" t="s">
        <v>1093</v>
      </c>
      <c r="C35" s="765" t="s">
        <v>1080</v>
      </c>
      <c r="D35" s="377"/>
      <c r="E35" s="656"/>
      <c r="F35" s="656"/>
      <c r="G35" s="656"/>
      <c r="H35" s="656"/>
      <c r="I35" s="656"/>
      <c r="J35" s="377"/>
      <c r="K35" s="796"/>
      <c r="L35" s="795"/>
      <c r="M35" s="764"/>
      <c r="N35" s="795"/>
      <c r="O35" s="78" t="str">
        <f t="shared" si="0"/>
        <v>Yes</v>
      </c>
      <c r="P35" s="769"/>
      <c r="Q35" s="766"/>
      <c r="R35" s="766"/>
      <c r="S35" s="764"/>
      <c r="T35" s="764"/>
      <c r="U35" s="764"/>
      <c r="V35" s="764"/>
      <c r="W35" s="764"/>
      <c r="X35" s="764"/>
      <c r="Y35" s="764"/>
      <c r="Z35" s="797"/>
      <c r="AA35" s="24"/>
      <c r="AB35" s="710"/>
    </row>
    <row r="36" spans="1:28" s="22" customFormat="1" ht="15" customHeight="1" x14ac:dyDescent="0.2">
      <c r="A36" s="123"/>
      <c r="B36" s="865"/>
      <c r="C36" s="767" t="s">
        <v>1081</v>
      </c>
      <c r="D36" s="768"/>
      <c r="E36" s="768"/>
      <c r="F36" s="768"/>
      <c r="G36" s="768"/>
      <c r="H36" s="768"/>
      <c r="I36" s="768"/>
      <c r="J36" s="768"/>
      <c r="K36" s="796"/>
      <c r="L36" s="795"/>
      <c r="M36" s="764"/>
      <c r="N36" s="795"/>
      <c r="O36" s="78" t="str">
        <f t="shared" si="0"/>
        <v>Yes</v>
      </c>
      <c r="P36" s="769"/>
      <c r="Q36" s="766"/>
      <c r="R36" s="766"/>
      <c r="S36" s="764"/>
      <c r="T36" s="764"/>
      <c r="U36" s="764"/>
      <c r="V36" s="764"/>
      <c r="W36" s="764"/>
      <c r="X36" s="764"/>
      <c r="Y36" s="764"/>
      <c r="Z36" s="797"/>
      <c r="AA36" s="24"/>
      <c r="AB36" s="710"/>
    </row>
    <row r="37" spans="1:28" s="22" customFormat="1" ht="30" customHeight="1" x14ac:dyDescent="0.2">
      <c r="A37" s="123"/>
      <c r="B37" s="770" t="s">
        <v>1094</v>
      </c>
      <c r="C37" s="767" t="s">
        <v>1081</v>
      </c>
      <c r="D37" s="656"/>
      <c r="E37" s="656"/>
      <c r="F37" s="656"/>
      <c r="G37" s="656"/>
      <c r="H37" s="656"/>
      <c r="I37" s="656"/>
      <c r="J37" s="768"/>
      <c r="K37" s="771"/>
      <c r="L37" s="656"/>
      <c r="M37" s="795"/>
      <c r="N37" s="795"/>
      <c r="O37" s="78" t="str">
        <f t="shared" si="0"/>
        <v>Yes</v>
      </c>
      <c r="P37" s="656"/>
      <c r="Q37" s="795"/>
      <c r="R37" s="795"/>
      <c r="S37" s="795"/>
      <c r="T37" s="795"/>
      <c r="U37" s="795"/>
      <c r="V37" s="795"/>
      <c r="W37" s="795"/>
      <c r="X37" s="795"/>
      <c r="Y37" s="795"/>
      <c r="Z37" s="656"/>
      <c r="AA37" s="24"/>
      <c r="AB37" s="710"/>
    </row>
    <row r="38" spans="1:28" s="22" customFormat="1" ht="30" customHeight="1" x14ac:dyDescent="0.2">
      <c r="A38" s="123"/>
      <c r="B38" s="770" t="s">
        <v>1095</v>
      </c>
      <c r="C38" s="767" t="s">
        <v>1081</v>
      </c>
      <c r="D38" s="656"/>
      <c r="E38" s="656"/>
      <c r="F38" s="656"/>
      <c r="G38" s="656"/>
      <c r="H38" s="656"/>
      <c r="I38" s="656"/>
      <c r="J38" s="768"/>
      <c r="K38" s="771"/>
      <c r="L38" s="656"/>
      <c r="M38" s="795"/>
      <c r="N38" s="795"/>
      <c r="O38" s="78" t="str">
        <f t="shared" si="0"/>
        <v>Yes</v>
      </c>
      <c r="P38" s="656"/>
      <c r="Q38" s="795"/>
      <c r="R38" s="795"/>
      <c r="S38" s="795"/>
      <c r="T38" s="795"/>
      <c r="U38" s="795"/>
      <c r="V38" s="795"/>
      <c r="W38" s="795"/>
      <c r="X38" s="795"/>
      <c r="Y38" s="795"/>
      <c r="Z38" s="656"/>
      <c r="AA38" s="24"/>
      <c r="AB38" s="710"/>
    </row>
    <row r="39" spans="1:28" s="22" customFormat="1" ht="15" customHeight="1" x14ac:dyDescent="0.2">
      <c r="A39" s="123"/>
      <c r="B39" s="864" t="s">
        <v>1096</v>
      </c>
      <c r="C39" s="765" t="s">
        <v>1080</v>
      </c>
      <c r="D39" s="377"/>
      <c r="E39" s="656"/>
      <c r="F39" s="656"/>
      <c r="G39" s="656"/>
      <c r="H39" s="656"/>
      <c r="I39" s="656"/>
      <c r="J39" s="377"/>
      <c r="K39" s="796"/>
      <c r="L39" s="795"/>
      <c r="M39" s="764"/>
      <c r="N39" s="795"/>
      <c r="O39" s="78" t="str">
        <f t="shared" ref="O39:O62" si="1">IF(SUM(P39:Y39)=J39,"Yes","No")</f>
        <v>Yes</v>
      </c>
      <c r="P39" s="769"/>
      <c r="Q39" s="766"/>
      <c r="R39" s="766"/>
      <c r="S39" s="764"/>
      <c r="T39" s="764"/>
      <c r="U39" s="764"/>
      <c r="V39" s="764"/>
      <c r="W39" s="766"/>
      <c r="X39" s="766"/>
      <c r="Y39" s="766"/>
      <c r="Z39" s="797"/>
      <c r="AA39" s="24"/>
      <c r="AB39" s="710"/>
    </row>
    <row r="40" spans="1:28" s="22" customFormat="1" ht="15" customHeight="1" x14ac:dyDescent="0.2">
      <c r="A40" s="123"/>
      <c r="B40" s="865"/>
      <c r="C40" s="767" t="s">
        <v>1081</v>
      </c>
      <c r="D40" s="768"/>
      <c r="E40" s="768"/>
      <c r="F40" s="768"/>
      <c r="G40" s="768"/>
      <c r="H40" s="768"/>
      <c r="I40" s="768"/>
      <c r="J40" s="768"/>
      <c r="K40" s="796"/>
      <c r="L40" s="795"/>
      <c r="M40" s="764"/>
      <c r="N40" s="795"/>
      <c r="O40" s="78" t="str">
        <f t="shared" si="1"/>
        <v>Yes</v>
      </c>
      <c r="P40" s="769"/>
      <c r="Q40" s="766"/>
      <c r="R40" s="766"/>
      <c r="S40" s="764"/>
      <c r="T40" s="764"/>
      <c r="U40" s="764"/>
      <c r="V40" s="764"/>
      <c r="W40" s="766"/>
      <c r="X40" s="766"/>
      <c r="Y40" s="766"/>
      <c r="Z40" s="797"/>
      <c r="AA40" s="24"/>
      <c r="AB40" s="710"/>
    </row>
    <row r="41" spans="1:28" s="22" customFormat="1" ht="15" customHeight="1" x14ac:dyDescent="0.2">
      <c r="A41" s="123"/>
      <c r="B41" s="867" t="s">
        <v>1097</v>
      </c>
      <c r="C41" s="765" t="s">
        <v>1080</v>
      </c>
      <c r="D41" s="795"/>
      <c r="E41" s="656"/>
      <c r="F41" s="656"/>
      <c r="G41" s="656"/>
      <c r="H41" s="656"/>
      <c r="I41" s="656"/>
      <c r="J41" s="795"/>
      <c r="K41" s="423"/>
      <c r="L41" s="795"/>
      <c r="M41" s="795"/>
      <c r="N41" s="795"/>
      <c r="O41" s="78" t="str">
        <f t="shared" si="1"/>
        <v>Yes</v>
      </c>
      <c r="P41" s="769"/>
      <c r="Q41" s="795"/>
      <c r="R41" s="795"/>
      <c r="S41" s="795"/>
      <c r="T41" s="795"/>
      <c r="U41" s="795"/>
      <c r="V41" s="795"/>
      <c r="W41" s="795"/>
      <c r="X41" s="795"/>
      <c r="Y41" s="795"/>
      <c r="Z41" s="798"/>
      <c r="AA41" s="24"/>
      <c r="AB41" s="710"/>
    </row>
    <row r="42" spans="1:28" s="22" customFormat="1" ht="15" customHeight="1" x14ac:dyDescent="0.2">
      <c r="A42" s="123"/>
      <c r="B42" s="868"/>
      <c r="C42" s="767" t="s">
        <v>1081</v>
      </c>
      <c r="D42" s="795"/>
      <c r="E42" s="795"/>
      <c r="F42" s="795"/>
      <c r="G42" s="795"/>
      <c r="H42" s="795"/>
      <c r="I42" s="795"/>
      <c r="J42" s="795"/>
      <c r="K42" s="423"/>
      <c r="L42" s="795"/>
      <c r="M42" s="795"/>
      <c r="N42" s="795"/>
      <c r="O42" s="78" t="str">
        <f t="shared" si="1"/>
        <v>Yes</v>
      </c>
      <c r="P42" s="769"/>
      <c r="Q42" s="795"/>
      <c r="R42" s="795"/>
      <c r="S42" s="795"/>
      <c r="T42" s="795"/>
      <c r="U42" s="795"/>
      <c r="V42" s="795"/>
      <c r="W42" s="795"/>
      <c r="X42" s="795"/>
      <c r="Y42" s="795"/>
      <c r="Z42" s="798"/>
      <c r="AA42" s="24"/>
      <c r="AB42" s="710"/>
    </row>
    <row r="43" spans="1:28" s="22" customFormat="1" ht="15" customHeight="1" x14ac:dyDescent="0.2">
      <c r="A43" s="123"/>
      <c r="B43" s="864" t="s">
        <v>1098</v>
      </c>
      <c r="C43" s="765" t="s">
        <v>1080</v>
      </c>
      <c r="D43" s="377"/>
      <c r="E43" s="656"/>
      <c r="F43" s="656"/>
      <c r="G43" s="656"/>
      <c r="H43" s="656"/>
      <c r="I43" s="656"/>
      <c r="J43" s="377"/>
      <c r="K43" s="796"/>
      <c r="L43" s="795"/>
      <c r="M43" s="764"/>
      <c r="N43" s="795"/>
      <c r="O43" s="78" t="str">
        <f t="shared" si="1"/>
        <v>Yes</v>
      </c>
      <c r="P43" s="769"/>
      <c r="Q43" s="766"/>
      <c r="R43" s="766"/>
      <c r="S43" s="764"/>
      <c r="T43" s="764"/>
      <c r="U43" s="766"/>
      <c r="V43" s="764"/>
      <c r="W43" s="766"/>
      <c r="X43" s="766"/>
      <c r="Y43" s="766"/>
      <c r="Z43" s="797"/>
      <c r="AA43" s="24"/>
      <c r="AB43" s="710"/>
    </row>
    <row r="44" spans="1:28" s="22" customFormat="1" ht="15" customHeight="1" x14ac:dyDescent="0.2">
      <c r="A44" s="123"/>
      <c r="B44" s="865"/>
      <c r="C44" s="767" t="s">
        <v>1081</v>
      </c>
      <c r="D44" s="768"/>
      <c r="E44" s="768"/>
      <c r="F44" s="768"/>
      <c r="G44" s="768"/>
      <c r="H44" s="768"/>
      <c r="I44" s="768"/>
      <c r="J44" s="768"/>
      <c r="K44" s="796"/>
      <c r="L44" s="795"/>
      <c r="M44" s="764"/>
      <c r="N44" s="795"/>
      <c r="O44" s="78" t="str">
        <f t="shared" si="1"/>
        <v>Yes</v>
      </c>
      <c r="P44" s="769"/>
      <c r="Q44" s="766"/>
      <c r="R44" s="766"/>
      <c r="S44" s="764"/>
      <c r="T44" s="764"/>
      <c r="U44" s="766"/>
      <c r="V44" s="764"/>
      <c r="W44" s="766"/>
      <c r="X44" s="766"/>
      <c r="Y44" s="766"/>
      <c r="Z44" s="797"/>
      <c r="AA44" s="24"/>
      <c r="AB44" s="710"/>
    </row>
    <row r="45" spans="1:28" s="22" customFormat="1" ht="15" customHeight="1" x14ac:dyDescent="0.2">
      <c r="A45" s="123"/>
      <c r="B45" s="864" t="s">
        <v>1099</v>
      </c>
      <c r="C45" s="765" t="s">
        <v>1080</v>
      </c>
      <c r="D45" s="377"/>
      <c r="E45" s="656"/>
      <c r="F45" s="656"/>
      <c r="G45" s="656"/>
      <c r="H45" s="656"/>
      <c r="I45" s="656"/>
      <c r="J45" s="377"/>
      <c r="K45" s="796"/>
      <c r="L45" s="795"/>
      <c r="M45" s="764"/>
      <c r="N45" s="795"/>
      <c r="O45" s="78" t="str">
        <f t="shared" si="1"/>
        <v>Yes</v>
      </c>
      <c r="P45" s="769"/>
      <c r="Q45" s="769"/>
      <c r="R45" s="769"/>
      <c r="S45" s="769"/>
      <c r="T45" s="764"/>
      <c r="U45" s="769"/>
      <c r="V45" s="764"/>
      <c r="W45" s="764"/>
      <c r="X45" s="764"/>
      <c r="Y45" s="764"/>
      <c r="Z45" s="797"/>
      <c r="AA45" s="24"/>
      <c r="AB45" s="710"/>
    </row>
    <row r="46" spans="1:28" s="22" customFormat="1" ht="15" customHeight="1" x14ac:dyDescent="0.2">
      <c r="A46" s="123"/>
      <c r="B46" s="865"/>
      <c r="C46" s="767" t="s">
        <v>1081</v>
      </c>
      <c r="D46" s="768"/>
      <c r="E46" s="768"/>
      <c r="F46" s="768"/>
      <c r="G46" s="768"/>
      <c r="H46" s="768"/>
      <c r="I46" s="768"/>
      <c r="J46" s="768"/>
      <c r="K46" s="796"/>
      <c r="L46" s="795"/>
      <c r="M46" s="764"/>
      <c r="N46" s="795"/>
      <c r="O46" s="78" t="str">
        <f t="shared" si="1"/>
        <v>Yes</v>
      </c>
      <c r="P46" s="769"/>
      <c r="Q46" s="769"/>
      <c r="R46" s="769"/>
      <c r="S46" s="769"/>
      <c r="T46" s="764"/>
      <c r="U46" s="769"/>
      <c r="V46" s="764"/>
      <c r="W46" s="764"/>
      <c r="X46" s="764"/>
      <c r="Y46" s="764"/>
      <c r="Z46" s="797"/>
      <c r="AA46" s="24"/>
      <c r="AB46" s="710"/>
    </row>
    <row r="47" spans="1:28" s="22" customFormat="1" ht="15" customHeight="1" x14ac:dyDescent="0.2">
      <c r="A47" s="123"/>
      <c r="B47" s="859" t="s">
        <v>1100</v>
      </c>
      <c r="C47" s="765" t="s">
        <v>1080</v>
      </c>
      <c r="D47" s="377"/>
      <c r="E47" s="656"/>
      <c r="F47" s="656"/>
      <c r="G47" s="656"/>
      <c r="H47" s="656"/>
      <c r="I47" s="656"/>
      <c r="J47" s="377"/>
      <c r="K47" s="796"/>
      <c r="L47" s="795"/>
      <c r="M47" s="764"/>
      <c r="N47" s="795"/>
      <c r="O47" s="78" t="str">
        <f t="shared" si="1"/>
        <v>Yes</v>
      </c>
      <c r="P47" s="769"/>
      <c r="Q47" s="769"/>
      <c r="R47" s="769"/>
      <c r="S47" s="769"/>
      <c r="T47" s="769"/>
      <c r="U47" s="769"/>
      <c r="V47" s="769"/>
      <c r="W47" s="764"/>
      <c r="X47" s="764"/>
      <c r="Y47" s="764"/>
      <c r="Z47" s="797"/>
      <c r="AA47" s="24"/>
      <c r="AB47" s="710"/>
    </row>
    <row r="48" spans="1:28" s="22" customFormat="1" ht="15" customHeight="1" x14ac:dyDescent="0.2">
      <c r="A48" s="123"/>
      <c r="B48" s="860"/>
      <c r="C48" s="767" t="s">
        <v>1081</v>
      </c>
      <c r="D48" s="768"/>
      <c r="E48" s="768"/>
      <c r="F48" s="768"/>
      <c r="G48" s="768"/>
      <c r="H48" s="768"/>
      <c r="I48" s="768"/>
      <c r="J48" s="768"/>
      <c r="K48" s="796"/>
      <c r="L48" s="795"/>
      <c r="M48" s="764"/>
      <c r="N48" s="795"/>
      <c r="O48" s="78" t="str">
        <f t="shared" si="1"/>
        <v>Yes</v>
      </c>
      <c r="P48" s="769"/>
      <c r="Q48" s="769"/>
      <c r="R48" s="769"/>
      <c r="S48" s="769"/>
      <c r="T48" s="769"/>
      <c r="U48" s="769"/>
      <c r="V48" s="769"/>
      <c r="W48" s="764"/>
      <c r="X48" s="764"/>
      <c r="Y48" s="764"/>
      <c r="Z48" s="797"/>
      <c r="AA48" s="24"/>
      <c r="AB48" s="710"/>
    </row>
    <row r="49" spans="1:28" s="22" customFormat="1" ht="15" customHeight="1" x14ac:dyDescent="0.2">
      <c r="A49" s="123"/>
      <c r="B49" s="864" t="s">
        <v>102</v>
      </c>
      <c r="C49" s="765" t="s">
        <v>1080</v>
      </c>
      <c r="D49" s="377"/>
      <c r="E49" s="656"/>
      <c r="F49" s="656"/>
      <c r="G49" s="656"/>
      <c r="H49" s="656"/>
      <c r="I49" s="656"/>
      <c r="J49" s="377"/>
      <c r="K49" s="796"/>
      <c r="L49" s="795"/>
      <c r="M49" s="764"/>
      <c r="N49" s="795"/>
      <c r="O49" s="78" t="str">
        <f t="shared" si="1"/>
        <v>Yes</v>
      </c>
      <c r="P49" s="769"/>
      <c r="Q49" s="769"/>
      <c r="R49" s="764"/>
      <c r="S49" s="769"/>
      <c r="T49" s="764"/>
      <c r="U49" s="769"/>
      <c r="V49" s="764"/>
      <c r="W49" s="766"/>
      <c r="X49" s="766"/>
      <c r="Y49" s="764"/>
      <c r="Z49" s="797"/>
      <c r="AA49" s="24"/>
      <c r="AB49" s="710"/>
    </row>
    <row r="50" spans="1:28" s="22" customFormat="1" ht="15" customHeight="1" x14ac:dyDescent="0.2">
      <c r="A50" s="123"/>
      <c r="B50" s="865"/>
      <c r="C50" s="767" t="s">
        <v>1081</v>
      </c>
      <c r="D50" s="768"/>
      <c r="E50" s="768"/>
      <c r="F50" s="768"/>
      <c r="G50" s="768"/>
      <c r="H50" s="768"/>
      <c r="I50" s="768"/>
      <c r="J50" s="768"/>
      <c r="K50" s="796"/>
      <c r="L50" s="795"/>
      <c r="M50" s="764"/>
      <c r="N50" s="795"/>
      <c r="O50" s="78" t="str">
        <f t="shared" si="1"/>
        <v>Yes</v>
      </c>
      <c r="P50" s="769"/>
      <c r="Q50" s="769"/>
      <c r="R50" s="764"/>
      <c r="S50" s="769"/>
      <c r="T50" s="764"/>
      <c r="U50" s="769"/>
      <c r="V50" s="764"/>
      <c r="W50" s="766"/>
      <c r="X50" s="766"/>
      <c r="Y50" s="764"/>
      <c r="Z50" s="797"/>
      <c r="AA50" s="24"/>
      <c r="AB50" s="710"/>
    </row>
    <row r="51" spans="1:28" s="22" customFormat="1" ht="15" customHeight="1" x14ac:dyDescent="0.2">
      <c r="A51" s="123"/>
      <c r="B51" s="859" t="s">
        <v>1101</v>
      </c>
      <c r="C51" s="765" t="s">
        <v>1080</v>
      </c>
      <c r="D51" s="377"/>
      <c r="E51" s="656"/>
      <c r="F51" s="656"/>
      <c r="G51" s="656"/>
      <c r="H51" s="656"/>
      <c r="I51" s="656"/>
      <c r="J51" s="377"/>
      <c r="K51" s="796"/>
      <c r="L51" s="795"/>
      <c r="M51" s="764"/>
      <c r="N51" s="795"/>
      <c r="O51" s="78" t="str">
        <f t="shared" si="1"/>
        <v>Yes</v>
      </c>
      <c r="P51" s="764"/>
      <c r="Q51" s="766"/>
      <c r="R51" s="764"/>
      <c r="S51" s="764"/>
      <c r="T51" s="766"/>
      <c r="U51" s="766"/>
      <c r="V51" s="764"/>
      <c r="W51" s="764"/>
      <c r="X51" s="764"/>
      <c r="Y51" s="764"/>
      <c r="Z51" s="797"/>
      <c r="AA51" s="24"/>
      <c r="AB51" s="710"/>
    </row>
    <row r="52" spans="1:28" s="22" customFormat="1" ht="15" customHeight="1" x14ac:dyDescent="0.2">
      <c r="A52" s="123"/>
      <c r="B52" s="866"/>
      <c r="C52" s="767" t="s">
        <v>1081</v>
      </c>
      <c r="D52" s="768"/>
      <c r="E52" s="768"/>
      <c r="F52" s="768"/>
      <c r="G52" s="768"/>
      <c r="H52" s="768"/>
      <c r="I52" s="768"/>
      <c r="J52" s="768"/>
      <c r="K52" s="796"/>
      <c r="L52" s="795"/>
      <c r="M52" s="764"/>
      <c r="N52" s="795"/>
      <c r="O52" s="78" t="str">
        <f t="shared" si="1"/>
        <v>Yes</v>
      </c>
      <c r="P52" s="764"/>
      <c r="Q52" s="766"/>
      <c r="R52" s="764"/>
      <c r="S52" s="764"/>
      <c r="T52" s="766"/>
      <c r="U52" s="766"/>
      <c r="V52" s="764"/>
      <c r="W52" s="764"/>
      <c r="X52" s="764"/>
      <c r="Y52" s="764"/>
      <c r="Z52" s="797"/>
      <c r="AA52" s="24"/>
      <c r="AB52" s="710"/>
    </row>
    <row r="53" spans="1:28" s="22" customFormat="1" ht="45" customHeight="1" x14ac:dyDescent="0.2">
      <c r="A53" s="123"/>
      <c r="B53" s="867" t="s">
        <v>1102</v>
      </c>
      <c r="C53" s="765" t="s">
        <v>1080</v>
      </c>
      <c r="D53" s="377"/>
      <c r="E53" s="656"/>
      <c r="F53" s="656"/>
      <c r="G53" s="656"/>
      <c r="H53" s="656"/>
      <c r="I53" s="656"/>
      <c r="J53" s="377"/>
      <c r="K53" s="796"/>
      <c r="L53" s="795"/>
      <c r="M53" s="764"/>
      <c r="N53" s="795"/>
      <c r="O53" s="78" t="str">
        <f t="shared" si="1"/>
        <v>Yes</v>
      </c>
      <c r="P53" s="764"/>
      <c r="Q53" s="766"/>
      <c r="R53" s="764"/>
      <c r="S53" s="764"/>
      <c r="T53" s="766"/>
      <c r="U53" s="769"/>
      <c r="V53" s="764"/>
      <c r="W53" s="764"/>
      <c r="X53" s="764"/>
      <c r="Y53" s="764"/>
      <c r="Z53" s="797"/>
      <c r="AA53" s="24"/>
      <c r="AB53" s="710"/>
    </row>
    <row r="54" spans="1:28" s="22" customFormat="1" ht="45" customHeight="1" x14ac:dyDescent="0.2">
      <c r="A54" s="123"/>
      <c r="B54" s="868"/>
      <c r="C54" s="767" t="s">
        <v>1081</v>
      </c>
      <c r="D54" s="768"/>
      <c r="E54" s="768"/>
      <c r="F54" s="768"/>
      <c r="G54" s="768"/>
      <c r="H54" s="768"/>
      <c r="I54" s="768"/>
      <c r="J54" s="768"/>
      <c r="K54" s="796"/>
      <c r="L54" s="795"/>
      <c r="M54" s="764"/>
      <c r="N54" s="795"/>
      <c r="O54" s="78" t="str">
        <f t="shared" si="1"/>
        <v>Yes</v>
      </c>
      <c r="P54" s="764"/>
      <c r="Q54" s="766"/>
      <c r="R54" s="764"/>
      <c r="S54" s="764"/>
      <c r="T54" s="766"/>
      <c r="U54" s="769"/>
      <c r="V54" s="764"/>
      <c r="W54" s="764"/>
      <c r="X54" s="764"/>
      <c r="Y54" s="764"/>
      <c r="Z54" s="797"/>
      <c r="AA54" s="24"/>
      <c r="AB54" s="710"/>
    </row>
    <row r="55" spans="1:28" s="22" customFormat="1" ht="75" customHeight="1" x14ac:dyDescent="0.2">
      <c r="A55" s="123"/>
      <c r="B55" s="867" t="s">
        <v>1103</v>
      </c>
      <c r="C55" s="765" t="s">
        <v>1080</v>
      </c>
      <c r="D55" s="795"/>
      <c r="E55" s="656"/>
      <c r="F55" s="656"/>
      <c r="G55" s="656"/>
      <c r="H55" s="656"/>
      <c r="I55" s="656"/>
      <c r="J55" s="795"/>
      <c r="K55" s="423"/>
      <c r="L55" s="795"/>
      <c r="M55" s="795"/>
      <c r="N55" s="795"/>
      <c r="O55" s="78" t="str">
        <f t="shared" si="1"/>
        <v>Yes</v>
      </c>
      <c r="P55" s="795"/>
      <c r="Q55" s="795"/>
      <c r="R55" s="795"/>
      <c r="S55" s="795"/>
      <c r="T55" s="795"/>
      <c r="U55" s="795"/>
      <c r="V55" s="795"/>
      <c r="W55" s="795"/>
      <c r="X55" s="795"/>
      <c r="Y55" s="795"/>
      <c r="Z55" s="798"/>
      <c r="AA55" s="24"/>
      <c r="AB55" s="710"/>
    </row>
    <row r="56" spans="1:28" s="22" customFormat="1" ht="75" customHeight="1" x14ac:dyDescent="0.2">
      <c r="A56" s="123"/>
      <c r="B56" s="868"/>
      <c r="C56" s="767" t="s">
        <v>1081</v>
      </c>
      <c r="D56" s="795"/>
      <c r="E56" s="795"/>
      <c r="F56" s="795"/>
      <c r="G56" s="795"/>
      <c r="H56" s="795"/>
      <c r="I56" s="795"/>
      <c r="J56" s="795"/>
      <c r="K56" s="423"/>
      <c r="L56" s="795"/>
      <c r="M56" s="795"/>
      <c r="N56" s="795"/>
      <c r="O56" s="78" t="str">
        <f t="shared" si="1"/>
        <v>Yes</v>
      </c>
      <c r="P56" s="795"/>
      <c r="Q56" s="795"/>
      <c r="R56" s="795"/>
      <c r="S56" s="795"/>
      <c r="T56" s="795"/>
      <c r="U56" s="795"/>
      <c r="V56" s="795"/>
      <c r="W56" s="795"/>
      <c r="X56" s="795"/>
      <c r="Y56" s="795"/>
      <c r="Z56" s="798"/>
      <c r="AA56" s="24"/>
      <c r="AB56" s="710"/>
    </row>
    <row r="57" spans="1:28" s="22" customFormat="1" ht="15" customHeight="1" x14ac:dyDescent="0.2">
      <c r="A57" s="123"/>
      <c r="B57" s="869" t="s">
        <v>1104</v>
      </c>
      <c r="C57" s="765" t="s">
        <v>1080</v>
      </c>
      <c r="D57" s="795"/>
      <c r="E57" s="656"/>
      <c r="F57" s="656"/>
      <c r="G57" s="656"/>
      <c r="H57" s="656"/>
      <c r="I57" s="656"/>
      <c r="J57" s="795"/>
      <c r="K57" s="423"/>
      <c r="L57" s="795"/>
      <c r="M57" s="795"/>
      <c r="N57" s="795"/>
      <c r="O57" s="78" t="str">
        <f t="shared" si="1"/>
        <v>Yes</v>
      </c>
      <c r="P57" s="795"/>
      <c r="Q57" s="795"/>
      <c r="R57" s="795"/>
      <c r="S57" s="795"/>
      <c r="T57" s="795"/>
      <c r="U57" s="795"/>
      <c r="V57" s="795"/>
      <c r="W57" s="795"/>
      <c r="X57" s="795"/>
      <c r="Y57" s="795"/>
      <c r="Z57" s="798"/>
      <c r="AA57" s="24"/>
      <c r="AB57" s="710"/>
    </row>
    <row r="58" spans="1:28" s="22" customFormat="1" ht="15" customHeight="1" x14ac:dyDescent="0.2">
      <c r="A58" s="123"/>
      <c r="B58" s="870"/>
      <c r="C58" s="767" t="s">
        <v>1081</v>
      </c>
      <c r="D58" s="795"/>
      <c r="E58" s="795"/>
      <c r="F58" s="795"/>
      <c r="G58" s="795"/>
      <c r="H58" s="795"/>
      <c r="I58" s="795"/>
      <c r="J58" s="795"/>
      <c r="K58" s="423"/>
      <c r="L58" s="795"/>
      <c r="M58" s="795"/>
      <c r="N58" s="795"/>
      <c r="O58" s="78" t="str">
        <f t="shared" si="1"/>
        <v>Yes</v>
      </c>
      <c r="P58" s="795"/>
      <c r="Q58" s="795"/>
      <c r="R58" s="795"/>
      <c r="S58" s="795"/>
      <c r="T58" s="795"/>
      <c r="U58" s="795"/>
      <c r="V58" s="795"/>
      <c r="W58" s="795"/>
      <c r="X58" s="795"/>
      <c r="Y58" s="795"/>
      <c r="Z58" s="798"/>
      <c r="AA58" s="24"/>
      <c r="AB58" s="710"/>
    </row>
    <row r="59" spans="1:28" s="22" customFormat="1" ht="15" customHeight="1" x14ac:dyDescent="0.2">
      <c r="A59" s="123"/>
      <c r="B59" s="867" t="s">
        <v>1105</v>
      </c>
      <c r="C59" s="765" t="s">
        <v>1080</v>
      </c>
      <c r="D59" s="795"/>
      <c r="E59" s="656"/>
      <c r="F59" s="656"/>
      <c r="G59" s="656"/>
      <c r="H59" s="656"/>
      <c r="I59" s="656"/>
      <c r="J59" s="795"/>
      <c r="K59" s="423"/>
      <c r="L59" s="795"/>
      <c r="M59" s="795"/>
      <c r="N59" s="795"/>
      <c r="O59" s="78" t="str">
        <f t="shared" si="1"/>
        <v>Yes</v>
      </c>
      <c r="P59" s="795"/>
      <c r="Q59" s="795"/>
      <c r="R59" s="795"/>
      <c r="S59" s="795"/>
      <c r="T59" s="795"/>
      <c r="U59" s="795"/>
      <c r="V59" s="795"/>
      <c r="W59" s="795"/>
      <c r="X59" s="795"/>
      <c r="Y59" s="795"/>
      <c r="Z59" s="798"/>
      <c r="AA59" s="24"/>
      <c r="AB59" s="710"/>
    </row>
    <row r="60" spans="1:28" s="22" customFormat="1" ht="15" customHeight="1" x14ac:dyDescent="0.2">
      <c r="A60" s="123"/>
      <c r="B60" s="868"/>
      <c r="C60" s="767" t="s">
        <v>1081</v>
      </c>
      <c r="D60" s="795"/>
      <c r="E60" s="795"/>
      <c r="F60" s="795"/>
      <c r="G60" s="795"/>
      <c r="H60" s="795"/>
      <c r="I60" s="795"/>
      <c r="J60" s="795"/>
      <c r="K60" s="423"/>
      <c r="L60" s="795"/>
      <c r="M60" s="795"/>
      <c r="N60" s="795"/>
      <c r="O60" s="78" t="str">
        <f t="shared" si="1"/>
        <v>Yes</v>
      </c>
      <c r="P60" s="795"/>
      <c r="Q60" s="795"/>
      <c r="R60" s="795"/>
      <c r="S60" s="795"/>
      <c r="T60" s="795"/>
      <c r="U60" s="795"/>
      <c r="V60" s="795"/>
      <c r="W60" s="795"/>
      <c r="X60" s="795"/>
      <c r="Y60" s="795"/>
      <c r="Z60" s="798"/>
      <c r="AA60" s="24"/>
      <c r="AB60" s="710"/>
    </row>
    <row r="61" spans="1:28" s="22" customFormat="1" ht="30" customHeight="1" x14ac:dyDescent="0.2">
      <c r="A61" s="123"/>
      <c r="B61" s="859" t="s">
        <v>1106</v>
      </c>
      <c r="C61" s="765" t="s">
        <v>1080</v>
      </c>
      <c r="D61" s="377"/>
      <c r="E61" s="656"/>
      <c r="F61" s="656"/>
      <c r="G61" s="656"/>
      <c r="H61" s="656"/>
      <c r="I61" s="656"/>
      <c r="J61" s="377"/>
      <c r="K61" s="796"/>
      <c r="L61" s="795"/>
      <c r="M61" s="764"/>
      <c r="N61" s="795"/>
      <c r="O61" s="78" t="str">
        <f t="shared" si="1"/>
        <v>Yes</v>
      </c>
      <c r="P61" s="764"/>
      <c r="Q61" s="766"/>
      <c r="R61" s="766"/>
      <c r="S61" s="764"/>
      <c r="T61" s="764"/>
      <c r="U61" s="764"/>
      <c r="V61" s="764"/>
      <c r="W61" s="764"/>
      <c r="X61" s="764"/>
      <c r="Y61" s="764"/>
      <c r="Z61" s="797"/>
      <c r="AA61" s="24"/>
      <c r="AB61" s="710"/>
    </row>
    <row r="62" spans="1:28" s="22" customFormat="1" ht="30" customHeight="1" x14ac:dyDescent="0.2">
      <c r="A62" s="123"/>
      <c r="B62" s="860"/>
      <c r="C62" s="767" t="s">
        <v>1081</v>
      </c>
      <c r="D62" s="768"/>
      <c r="E62" s="768"/>
      <c r="F62" s="768"/>
      <c r="G62" s="768"/>
      <c r="H62" s="768"/>
      <c r="I62" s="768"/>
      <c r="J62" s="768"/>
      <c r="K62" s="799"/>
      <c r="L62" s="795"/>
      <c r="M62" s="764"/>
      <c r="N62" s="795"/>
      <c r="O62" s="78" t="str">
        <f t="shared" si="1"/>
        <v>Yes</v>
      </c>
      <c r="P62" s="764"/>
      <c r="Q62" s="766"/>
      <c r="R62" s="766"/>
      <c r="S62" s="764"/>
      <c r="T62" s="764"/>
      <c r="U62" s="764"/>
      <c r="V62" s="764"/>
      <c r="W62" s="764"/>
      <c r="X62" s="764"/>
      <c r="Y62" s="764"/>
      <c r="Z62" s="797"/>
      <c r="AA62" s="24"/>
      <c r="AB62" s="710"/>
    </row>
    <row r="63" spans="1:28" ht="15" customHeight="1" x14ac:dyDescent="0.2">
      <c r="A63" s="383"/>
      <c r="B63" s="29"/>
      <c r="C63" s="29"/>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60"/>
      <c r="AB63" s="800"/>
    </row>
    <row r="64" spans="1:28" ht="15" customHeight="1" x14ac:dyDescent="0.2">
      <c r="A64" s="383"/>
      <c r="B64" s="759"/>
      <c r="C64" s="759"/>
      <c r="D64" s="772" t="s">
        <v>1107</v>
      </c>
      <c r="E64" s="773"/>
      <c r="F64" s="773"/>
      <c r="G64" s="773"/>
      <c r="H64" s="773"/>
      <c r="I64" s="774"/>
      <c r="J64" s="775">
        <f>J7+J19+J33+J35+J39+J43+J45+J47+J49+J51+J61</f>
        <v>0</v>
      </c>
      <c r="K64" s="759"/>
      <c r="L64" s="759"/>
      <c r="M64" s="759"/>
      <c r="N64" s="759"/>
      <c r="O64" s="759"/>
      <c r="P64" s="759"/>
      <c r="Q64" s="759"/>
      <c r="R64" s="759"/>
      <c r="S64" s="759"/>
      <c r="T64" s="759"/>
      <c r="U64" s="759"/>
      <c r="V64" s="759"/>
      <c r="W64" s="759"/>
      <c r="X64" s="759"/>
      <c r="Y64" s="759"/>
      <c r="Z64" s="759"/>
      <c r="AA64" s="760"/>
      <c r="AB64" s="800"/>
    </row>
    <row r="65" spans="1:28" ht="15" customHeight="1" x14ac:dyDescent="0.2">
      <c r="A65" s="383"/>
      <c r="B65" s="759"/>
      <c r="C65" s="759"/>
      <c r="D65" s="772" t="s">
        <v>1108</v>
      </c>
      <c r="E65" s="773"/>
      <c r="F65" s="773"/>
      <c r="G65" s="773"/>
      <c r="H65" s="773"/>
      <c r="I65" s="774"/>
      <c r="J65" s="775">
        <f>J8+J20+J34+J36+J40+J44+J46+J48+J50+J52+J62</f>
        <v>0</v>
      </c>
      <c r="K65" s="759"/>
      <c r="L65" s="759"/>
      <c r="M65" s="759"/>
      <c r="N65" s="759"/>
      <c r="O65" s="759"/>
      <c r="P65" s="759"/>
      <c r="Q65" s="759"/>
      <c r="R65" s="759"/>
      <c r="S65" s="759"/>
      <c r="T65" s="759"/>
      <c r="U65" s="759"/>
      <c r="V65" s="759"/>
      <c r="W65" s="759"/>
      <c r="X65" s="759"/>
      <c r="Y65" s="759"/>
      <c r="Z65" s="759"/>
      <c r="AA65" s="760"/>
      <c r="AB65" s="800"/>
    </row>
    <row r="66" spans="1:28" ht="15" customHeight="1" x14ac:dyDescent="0.2">
      <c r="A66" s="383"/>
      <c r="B66" s="759"/>
      <c r="C66" s="759"/>
      <c r="D66" s="772" t="s">
        <v>1109</v>
      </c>
      <c r="E66" s="773"/>
      <c r="F66" s="773"/>
      <c r="G66" s="773"/>
      <c r="H66" s="773"/>
      <c r="I66" s="774"/>
      <c r="J66" s="775">
        <f>SUM(J64:J65)</f>
        <v>0</v>
      </c>
      <c r="K66" s="759"/>
      <c r="L66" s="759"/>
      <c r="M66" s="759"/>
      <c r="N66" s="759"/>
      <c r="O66" s="759"/>
      <c r="P66" s="759"/>
      <c r="Q66" s="759"/>
      <c r="R66" s="759"/>
      <c r="S66" s="759"/>
      <c r="T66" s="759"/>
      <c r="U66" s="759"/>
      <c r="V66" s="759"/>
      <c r="W66" s="759"/>
      <c r="X66" s="759"/>
      <c r="Y66" s="759"/>
      <c r="Z66" s="759"/>
      <c r="AA66" s="760"/>
      <c r="AB66" s="800"/>
    </row>
    <row r="67" spans="1:28" ht="15" customHeight="1" x14ac:dyDescent="0.2">
      <c r="A67" s="383"/>
      <c r="B67" s="759"/>
      <c r="C67" s="759"/>
      <c r="D67" s="133"/>
      <c r="E67" s="776"/>
      <c r="F67" s="776"/>
      <c r="G67" s="776"/>
      <c r="H67" s="776"/>
      <c r="I67" s="776"/>
      <c r="J67" s="759"/>
      <c r="K67" s="759"/>
      <c r="L67" s="759"/>
      <c r="M67" s="759"/>
      <c r="N67" s="759"/>
      <c r="O67" s="759"/>
      <c r="P67" s="759"/>
      <c r="Q67" s="759"/>
      <c r="R67" s="759"/>
      <c r="S67" s="759"/>
      <c r="T67" s="759"/>
      <c r="U67" s="759"/>
      <c r="V67" s="759"/>
      <c r="W67" s="759"/>
      <c r="X67" s="759"/>
      <c r="Y67" s="759"/>
      <c r="Z67" s="759"/>
      <c r="AA67" s="760"/>
      <c r="AB67" s="800"/>
    </row>
    <row r="68" spans="1:28" ht="15" customHeight="1" x14ac:dyDescent="0.2">
      <c r="A68" s="383"/>
      <c r="B68" s="759"/>
      <c r="C68" s="759"/>
      <c r="D68" s="772" t="s">
        <v>1110</v>
      </c>
      <c r="E68" s="773"/>
      <c r="F68" s="773"/>
      <c r="G68" s="773"/>
      <c r="H68" s="773"/>
      <c r="I68" s="774"/>
      <c r="J68" s="777">
        <f>M7+M19+M33+M35+M39+M43+M45+M47+M49+M51+M61</f>
        <v>0</v>
      </c>
      <c r="K68" s="759"/>
      <c r="L68" s="759"/>
      <c r="M68" s="759"/>
      <c r="N68" s="759"/>
      <c r="O68" s="759"/>
      <c r="P68" s="759"/>
      <c r="Q68" s="759"/>
      <c r="R68" s="759"/>
      <c r="S68" s="759"/>
      <c r="T68" s="759"/>
      <c r="U68" s="759"/>
      <c r="V68" s="759"/>
      <c r="W68" s="759"/>
      <c r="X68" s="759"/>
      <c r="Y68" s="759"/>
      <c r="Z68" s="759"/>
      <c r="AA68" s="760"/>
      <c r="AB68" s="800"/>
    </row>
    <row r="69" spans="1:28" ht="15" customHeight="1" x14ac:dyDescent="0.2">
      <c r="A69" s="383"/>
      <c r="B69" s="759"/>
      <c r="C69" s="759"/>
      <c r="D69" s="772" t="s">
        <v>1111</v>
      </c>
      <c r="E69" s="773"/>
      <c r="F69" s="773"/>
      <c r="G69" s="773"/>
      <c r="H69" s="773"/>
      <c r="I69" s="774"/>
      <c r="J69" s="777">
        <f>M8+M20+M34+M36+M40+M44+M46+M48+M50+M52+M62</f>
        <v>0</v>
      </c>
      <c r="K69" s="759"/>
      <c r="L69" s="759"/>
      <c r="M69" s="759"/>
      <c r="N69" s="759"/>
      <c r="O69" s="759"/>
      <c r="P69" s="759"/>
      <c r="Q69" s="759"/>
      <c r="R69" s="759"/>
      <c r="S69" s="759"/>
      <c r="T69" s="759"/>
      <c r="U69" s="759"/>
      <c r="V69" s="759"/>
      <c r="W69" s="759"/>
      <c r="X69" s="759"/>
      <c r="Y69" s="759"/>
      <c r="Z69" s="759"/>
      <c r="AA69" s="760"/>
      <c r="AB69" s="800"/>
    </row>
    <row r="70" spans="1:28" ht="15" customHeight="1" x14ac:dyDescent="0.2">
      <c r="A70" s="383"/>
      <c r="B70" s="759"/>
      <c r="C70" s="759"/>
      <c r="D70" s="772" t="s">
        <v>1112</v>
      </c>
      <c r="E70" s="773"/>
      <c r="F70" s="773"/>
      <c r="G70" s="773"/>
      <c r="H70" s="773"/>
      <c r="I70" s="774"/>
      <c r="J70" s="777">
        <f>SUM(J68:J69)</f>
        <v>0</v>
      </c>
      <c r="K70" s="759"/>
      <c r="L70" s="759"/>
      <c r="M70" s="759"/>
      <c r="N70" s="759"/>
      <c r="O70" s="759"/>
      <c r="P70" s="759"/>
      <c r="Q70" s="759"/>
      <c r="R70" s="759"/>
      <c r="S70" s="759"/>
      <c r="T70" s="759"/>
      <c r="U70" s="759"/>
      <c r="V70" s="759"/>
      <c r="W70" s="759"/>
      <c r="X70" s="759"/>
      <c r="Y70" s="759"/>
      <c r="Z70" s="759"/>
      <c r="AA70" s="760"/>
      <c r="AB70" s="800"/>
    </row>
    <row r="71" spans="1:28" ht="15" customHeight="1" x14ac:dyDescent="0.2">
      <c r="A71" s="383"/>
      <c r="B71" s="133"/>
      <c r="C71" s="776"/>
      <c r="D71" s="776"/>
      <c r="E71" s="776"/>
      <c r="F71" s="776"/>
      <c r="G71" s="776"/>
      <c r="H71" s="776"/>
      <c r="I71" s="776"/>
      <c r="J71" s="759"/>
      <c r="K71" s="759"/>
      <c r="L71" s="759"/>
      <c r="M71" s="759"/>
      <c r="N71" s="759"/>
      <c r="O71" s="759"/>
      <c r="P71" s="759"/>
      <c r="Q71" s="759"/>
      <c r="R71" s="759"/>
      <c r="S71" s="759"/>
      <c r="T71" s="759"/>
      <c r="U71" s="759"/>
      <c r="V71" s="759"/>
      <c r="W71" s="759"/>
      <c r="X71" s="759"/>
      <c r="Y71" s="759"/>
      <c r="Z71" s="759"/>
      <c r="AA71" s="760"/>
      <c r="AB71" s="800"/>
    </row>
    <row r="72" spans="1:28" ht="30" customHeight="1" x14ac:dyDescent="0.4">
      <c r="A72" s="778" t="s">
        <v>1113</v>
      </c>
      <c r="B72" s="63"/>
      <c r="C72" s="68"/>
      <c r="D72" s="49"/>
      <c r="E72" s="49"/>
      <c r="F72" s="49"/>
      <c r="G72" s="49"/>
      <c r="H72" s="49"/>
      <c r="I72" s="49"/>
      <c r="J72" s="49"/>
      <c r="K72" s="49"/>
      <c r="L72" s="49"/>
      <c r="M72" s="757"/>
      <c r="N72" s="757"/>
      <c r="O72" s="757"/>
      <c r="P72" s="49"/>
      <c r="Q72" s="49"/>
      <c r="R72" s="49"/>
      <c r="S72" s="49"/>
      <c r="T72" s="49"/>
      <c r="U72" s="49"/>
      <c r="V72" s="49"/>
      <c r="W72" s="49"/>
      <c r="X72" s="49"/>
      <c r="Y72" s="757"/>
      <c r="Z72" s="757"/>
      <c r="AA72" s="758"/>
      <c r="AB72" s="800"/>
    </row>
    <row r="73" spans="1:28" ht="15" customHeight="1" x14ac:dyDescent="0.2">
      <c r="A73" s="383"/>
      <c r="B73" s="29"/>
      <c r="C73" s="29"/>
      <c r="D73" s="759"/>
      <c r="E73" s="759"/>
      <c r="F73" s="759"/>
      <c r="G73" s="759"/>
      <c r="H73" s="759"/>
      <c r="I73" s="759"/>
      <c r="J73" s="759"/>
      <c r="K73" s="759"/>
      <c r="L73" s="759"/>
      <c r="M73" s="759"/>
      <c r="N73" s="759"/>
      <c r="O73" s="759"/>
      <c r="P73" s="759"/>
      <c r="Q73" s="759"/>
      <c r="R73" s="759"/>
      <c r="S73" s="759"/>
      <c r="T73" s="759"/>
      <c r="U73" s="759"/>
      <c r="V73" s="759"/>
      <c r="W73" s="759"/>
      <c r="X73" s="759"/>
      <c r="Y73" s="759"/>
      <c r="Z73" s="759"/>
      <c r="AA73" s="760"/>
      <c r="AB73" s="800"/>
    </row>
    <row r="74" spans="1:28" ht="30" customHeight="1" x14ac:dyDescent="0.2">
      <c r="A74" s="383"/>
      <c r="B74" s="271"/>
      <c r="C74" s="29"/>
      <c r="D74" s="759"/>
      <c r="E74" s="779"/>
      <c r="F74" s="779"/>
      <c r="G74" s="779"/>
      <c r="H74" s="779"/>
      <c r="I74" s="779"/>
      <c r="J74" s="803" t="s">
        <v>1114</v>
      </c>
      <c r="K74" s="861"/>
      <c r="L74" s="759"/>
      <c r="M74" s="759"/>
      <c r="N74" s="759"/>
      <c r="O74" s="759"/>
      <c r="P74" s="759"/>
      <c r="Q74" s="759"/>
      <c r="R74" s="759"/>
      <c r="S74" s="759"/>
      <c r="T74" s="759"/>
      <c r="U74" s="759"/>
      <c r="V74" s="759"/>
      <c r="W74" s="759"/>
      <c r="X74" s="759"/>
      <c r="Y74" s="759"/>
      <c r="Z74" s="759"/>
      <c r="AA74" s="760"/>
      <c r="AB74" s="800"/>
    </row>
    <row r="75" spans="1:28" ht="15" customHeight="1" x14ac:dyDescent="0.2">
      <c r="A75" s="383"/>
      <c r="B75" s="29"/>
      <c r="C75" s="29"/>
      <c r="D75" s="753" t="s">
        <v>1115</v>
      </c>
      <c r="E75" s="780"/>
      <c r="F75" s="780"/>
      <c r="G75" s="780"/>
      <c r="H75" s="780"/>
      <c r="I75" s="781"/>
      <c r="J75" s="862"/>
      <c r="K75" s="863"/>
      <c r="L75" s="759"/>
      <c r="M75" s="759"/>
      <c r="N75" s="759"/>
      <c r="O75" s="759"/>
      <c r="P75" s="759"/>
      <c r="Q75" s="759"/>
      <c r="R75" s="759"/>
      <c r="S75" s="759"/>
      <c r="T75" s="759"/>
      <c r="U75" s="759"/>
      <c r="V75" s="759"/>
      <c r="W75" s="759"/>
      <c r="X75" s="759"/>
      <c r="Y75" s="759"/>
      <c r="Z75" s="759"/>
      <c r="AA75" s="760"/>
      <c r="AB75" s="800"/>
    </row>
    <row r="76" spans="1:28" ht="15" customHeight="1" x14ac:dyDescent="0.2">
      <c r="A76" s="240"/>
      <c r="B76" s="784"/>
      <c r="C76" s="235"/>
      <c r="D76" s="785"/>
      <c r="E76" s="785"/>
      <c r="F76" s="785"/>
      <c r="G76" s="785"/>
      <c r="H76" s="785"/>
      <c r="I76" s="785"/>
      <c r="J76" s="785"/>
      <c r="K76" s="785"/>
      <c r="L76" s="785"/>
      <c r="M76" s="785"/>
      <c r="N76" s="785"/>
      <c r="O76" s="785"/>
      <c r="P76" s="785"/>
      <c r="Q76" s="785"/>
      <c r="R76" s="785"/>
      <c r="S76" s="785"/>
      <c r="T76" s="785"/>
      <c r="U76" s="785"/>
      <c r="V76" s="785"/>
      <c r="W76" s="785"/>
      <c r="X76" s="785"/>
      <c r="Y76" s="785"/>
      <c r="Z76" s="785"/>
      <c r="AA76" s="786"/>
      <c r="AB76" s="800"/>
    </row>
  </sheetData>
  <mergeCells count="40">
    <mergeCell ref="B9:B10"/>
    <mergeCell ref="C4:C5"/>
    <mergeCell ref="D4:D5"/>
    <mergeCell ref="E4:I4"/>
    <mergeCell ref="J4:J5"/>
    <mergeCell ref="P4:Y4"/>
    <mergeCell ref="M4:M5"/>
    <mergeCell ref="N4:N5"/>
    <mergeCell ref="Z4:Z5"/>
    <mergeCell ref="B7:B8"/>
    <mergeCell ref="K4:K5"/>
    <mergeCell ref="L4:L5"/>
    <mergeCell ref="B33:B34"/>
    <mergeCell ref="B11:B12"/>
    <mergeCell ref="B13:B14"/>
    <mergeCell ref="B15:B16"/>
    <mergeCell ref="B17:B18"/>
    <mergeCell ref="B19:B20"/>
    <mergeCell ref="B21:B22"/>
    <mergeCell ref="B23:B24"/>
    <mergeCell ref="B25:B26"/>
    <mergeCell ref="B27:B28"/>
    <mergeCell ref="B29:B30"/>
    <mergeCell ref="B31:B32"/>
    <mergeCell ref="B61:B62"/>
    <mergeCell ref="J74:K74"/>
    <mergeCell ref="J75:K75"/>
    <mergeCell ref="O4:O5"/>
    <mergeCell ref="B49:B50"/>
    <mergeCell ref="B51:B52"/>
    <mergeCell ref="B53:B54"/>
    <mergeCell ref="B55:B56"/>
    <mergeCell ref="B57:B58"/>
    <mergeCell ref="B59:B60"/>
    <mergeCell ref="B35:B36"/>
    <mergeCell ref="B39:B40"/>
    <mergeCell ref="B41:B42"/>
    <mergeCell ref="B43:B44"/>
    <mergeCell ref="B45:B46"/>
    <mergeCell ref="B47:B48"/>
  </mergeCells>
  <conditionalFormatting sqref="O7:O62">
    <cfRule type="cellIs" dxfId="41" priority="1" stopIfTrue="1" operator="equal">
      <formula>"No"</formula>
    </cfRule>
    <cfRule type="cellIs" dxfId="40" priority="2" stopIfTrue="1" operator="equal">
      <formula>"Yes"</formula>
    </cfRule>
  </conditionalFormatting>
  <printOptions headings="1"/>
  <pageMargins left="0.59055118110236227" right="0.39370078740157483" top="0.98425196850393704" bottom="0.98425196850393704" header="0.51181102362204722" footer="0.51181102362204722"/>
  <pageSetup paperSize="9" scale="50" fitToWidth="0" fitToHeight="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50" max="26" man="1"/>
  </rowBreaks>
  <colBreaks count="2" manualBreakCount="2">
    <brk id="15" max="75" man="1"/>
    <brk id="27" max="5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5"/>
  </sheetPr>
  <dimension ref="A1:O131"/>
  <sheetViews>
    <sheetView zoomScale="75" zoomScaleNormal="75" workbookViewId="0"/>
  </sheetViews>
  <sheetFormatPr defaultColWidth="11.42578125" defaultRowHeight="15" customHeight="1" x14ac:dyDescent="0.2"/>
  <cols>
    <col min="1" max="1" width="1.7109375" style="28" customWidth="1"/>
    <col min="2" max="2" width="14.7109375" style="28" customWidth="1"/>
    <col min="3" max="3" width="90.7109375" style="76" customWidth="1"/>
    <col min="4" max="13" width="12.7109375" style="28" customWidth="1"/>
    <col min="14" max="14" width="1.7109375" style="28" customWidth="1"/>
    <col min="15" max="16384" width="11.42578125" style="28"/>
  </cols>
  <sheetData>
    <row r="1" spans="1:14" s="65" customFormat="1" ht="30" customHeight="1" x14ac:dyDescent="0.4">
      <c r="A1" s="62" t="s">
        <v>301</v>
      </c>
      <c r="B1" s="63"/>
      <c r="C1" s="72"/>
      <c r="D1" s="63"/>
      <c r="E1" s="63"/>
      <c r="F1" s="63"/>
      <c r="G1" s="63"/>
      <c r="H1" s="63"/>
      <c r="I1" s="63"/>
      <c r="J1" s="63"/>
      <c r="K1" s="63"/>
      <c r="L1" s="63"/>
      <c r="M1" s="63"/>
      <c r="N1" s="64"/>
    </row>
    <row r="2" spans="1:14" s="35" customFormat="1" ht="30" customHeight="1" x14ac:dyDescent="0.25">
      <c r="A2" s="52" t="s">
        <v>270</v>
      </c>
      <c r="B2" s="49"/>
      <c r="C2" s="73"/>
      <c r="D2" s="49"/>
      <c r="E2" s="49"/>
      <c r="F2" s="49"/>
      <c r="G2" s="49"/>
      <c r="H2" s="49"/>
      <c r="I2" s="49"/>
      <c r="J2" s="49"/>
      <c r="K2" s="49"/>
      <c r="L2" s="49"/>
      <c r="M2" s="49"/>
      <c r="N2" s="59"/>
    </row>
    <row r="3" spans="1:14" ht="15" customHeight="1" x14ac:dyDescent="0.2">
      <c r="A3" s="57"/>
      <c r="B3" s="50"/>
      <c r="C3" s="74"/>
      <c r="D3" s="50"/>
      <c r="E3" s="50"/>
      <c r="F3" s="50"/>
      <c r="G3" s="50"/>
      <c r="H3" s="50"/>
      <c r="I3" s="50"/>
      <c r="J3" s="50"/>
      <c r="K3" s="50"/>
      <c r="L3" s="50"/>
      <c r="M3" s="50"/>
      <c r="N3" s="54"/>
    </row>
    <row r="4" spans="1:14" ht="15" customHeight="1" x14ac:dyDescent="0.2">
      <c r="A4" s="57"/>
      <c r="B4" s="412" t="s">
        <v>83</v>
      </c>
      <c r="C4" s="147" t="s">
        <v>84</v>
      </c>
      <c r="D4" s="474" t="str">
        <f>CONCATENATE("Column ", LEFT(ADDRESS(ROW('General Info'!C50),COLUMN('General Info'!C50),4), 1))</f>
        <v>Column C</v>
      </c>
      <c r="E4" s="474" t="str">
        <f>CONCATENATE("Column ", LEFT(ADDRESS(ROW('General Info'!D50),COLUMN('General Info'!D50),4), 1))</f>
        <v>Column D</v>
      </c>
      <c r="F4" s="29"/>
      <c r="G4" s="50"/>
      <c r="H4" s="50"/>
      <c r="I4" s="50"/>
      <c r="J4" s="50"/>
      <c r="K4" s="50"/>
      <c r="L4" s="50"/>
      <c r="M4" s="50"/>
      <c r="N4" s="54"/>
    </row>
    <row r="5" spans="1:14" ht="15" customHeight="1" x14ac:dyDescent="0.2">
      <c r="A5" s="57"/>
      <c r="B5" s="20" t="s">
        <v>603</v>
      </c>
      <c r="C5" s="473" t="str">
        <f>'General Info'!B50</f>
        <v>Check: Tier 1 adjustments should be ≤ additional Tier 1 prior to adjustments.</v>
      </c>
      <c r="D5" s="77" t="str">
        <f>'General Info'!C50</f>
        <v>Yes</v>
      </c>
      <c r="E5" s="544"/>
      <c r="F5" s="29"/>
      <c r="G5" s="50"/>
      <c r="H5" s="50"/>
      <c r="I5" s="50"/>
      <c r="J5" s="50"/>
      <c r="K5" s="50"/>
      <c r="L5" s="50"/>
      <c r="M5" s="50"/>
      <c r="N5" s="54"/>
    </row>
    <row r="6" spans="1:14" ht="15" customHeight="1" x14ac:dyDescent="0.2">
      <c r="A6" s="57"/>
      <c r="B6" s="20" t="s">
        <v>603</v>
      </c>
      <c r="C6" s="473" t="str">
        <f>'General Info'!B55</f>
        <v>Check: Tier 2 adjustments should be ≤ additional Tier 2 prior to adjustments.</v>
      </c>
      <c r="D6" s="77" t="str">
        <f>'General Info'!C55</f>
        <v>Yes</v>
      </c>
      <c r="E6" s="478"/>
      <c r="F6" s="29"/>
      <c r="G6" s="50"/>
      <c r="H6" s="50"/>
      <c r="I6" s="50"/>
      <c r="J6" s="50"/>
      <c r="K6" s="50"/>
      <c r="L6" s="50"/>
      <c r="M6" s="50"/>
      <c r="N6" s="54"/>
    </row>
    <row r="7" spans="1:14" ht="15" customHeight="1" x14ac:dyDescent="0.2">
      <c r="A7" s="57"/>
      <c r="B7" s="20" t="s">
        <v>271</v>
      </c>
      <c r="C7" s="473" t="str">
        <f>'General Info'!B133</f>
        <v>Check: sum capital charges from rated and unrated exposures should not be higher than total</v>
      </c>
      <c r="D7" s="546"/>
      <c r="E7" s="77" t="str">
        <f>'General Info'!D133</f>
        <v>Yes</v>
      </c>
      <c r="F7" s="29"/>
      <c r="G7" s="50"/>
      <c r="H7" s="50"/>
      <c r="I7" s="50"/>
      <c r="J7" s="50"/>
      <c r="K7" s="50"/>
      <c r="L7" s="50"/>
      <c r="M7" s="50"/>
      <c r="N7" s="54"/>
    </row>
    <row r="8" spans="1:14" ht="15" customHeight="1" x14ac:dyDescent="0.2">
      <c r="A8" s="57"/>
      <c r="B8" s="20" t="s">
        <v>271</v>
      </c>
      <c r="C8" s="473" t="str">
        <f>'General Info'!B138</f>
        <v>Check: positive VaR at reporting date requires positive Basel 2.5 VaR</v>
      </c>
      <c r="D8" s="554"/>
      <c r="E8" s="77" t="str">
        <f>'General Info'!D138</f>
        <v>Yes</v>
      </c>
      <c r="F8" s="29"/>
      <c r="G8" s="50"/>
      <c r="H8" s="50"/>
      <c r="I8" s="50"/>
      <c r="J8" s="50"/>
      <c r="K8" s="50"/>
      <c r="L8" s="50"/>
      <c r="M8" s="50"/>
      <c r="N8" s="54"/>
    </row>
    <row r="9" spans="1:14" ht="15" customHeight="1" x14ac:dyDescent="0.2">
      <c r="A9" s="57"/>
      <c r="B9" s="20" t="s">
        <v>271</v>
      </c>
      <c r="C9" s="473" t="str">
        <f>'General Info'!B139</f>
        <v>Check: positive VaR capital charge requires VaR which is positive but smaller than the capital charge.</v>
      </c>
      <c r="D9" s="77" t="str">
        <f>'General Info'!C139</f>
        <v>Yes</v>
      </c>
      <c r="E9" s="77" t="str">
        <f>'General Info'!D139</f>
        <v>Yes</v>
      </c>
      <c r="F9" s="29"/>
      <c r="G9" s="50"/>
      <c r="H9" s="50"/>
      <c r="I9" s="50"/>
      <c r="J9" s="50"/>
      <c r="K9" s="50"/>
      <c r="L9" s="50"/>
      <c r="M9" s="50"/>
      <c r="N9" s="54"/>
    </row>
    <row r="10" spans="1:14" ht="15" customHeight="1" x14ac:dyDescent="0.2">
      <c r="A10" s="57"/>
      <c r="B10" s="20" t="s">
        <v>271</v>
      </c>
      <c r="C10" s="473" t="str">
        <f>'General Info'!B141</f>
        <v>Check: positive stressed VaR at reporting date requires positive Basel 2.5 stressed VaR</v>
      </c>
      <c r="D10" s="546"/>
      <c r="E10" s="77" t="str">
        <f>'General Info'!D141</f>
        <v>Yes</v>
      </c>
      <c r="F10" s="29"/>
      <c r="G10" s="50"/>
      <c r="H10" s="50"/>
      <c r="I10" s="50"/>
      <c r="J10" s="50"/>
      <c r="K10" s="50"/>
      <c r="L10" s="50"/>
      <c r="M10" s="50"/>
      <c r="N10" s="54"/>
    </row>
    <row r="11" spans="1:14" ht="15" customHeight="1" x14ac:dyDescent="0.2">
      <c r="A11" s="57"/>
      <c r="B11" s="20" t="s">
        <v>271</v>
      </c>
      <c r="C11" s="473" t="str">
        <f>'General Info'!B142</f>
        <v>Check: positive Basel 2.5 VaR requires positive Basel 2.5 stressed VaR and vice versa</v>
      </c>
      <c r="D11" s="549"/>
      <c r="E11" s="77" t="str">
        <f>'General Info'!D142</f>
        <v>Yes</v>
      </c>
      <c r="F11" s="29"/>
      <c r="G11" s="50"/>
      <c r="H11" s="50"/>
      <c r="I11" s="50"/>
      <c r="J11" s="50"/>
      <c r="K11" s="50"/>
      <c r="L11" s="50"/>
      <c r="M11" s="50"/>
      <c r="N11" s="54"/>
    </row>
    <row r="12" spans="1:14" ht="15" customHeight="1" x14ac:dyDescent="0.2">
      <c r="A12" s="57"/>
      <c r="B12" s="20" t="s">
        <v>271</v>
      </c>
      <c r="C12" s="473" t="str">
        <f>'General Info'!B148</f>
        <v>Check: sum capital charges from rated and unrated exposures should not be higher than total</v>
      </c>
      <c r="D12" s="549"/>
      <c r="E12" s="77" t="str">
        <f>'General Info'!D148</f>
        <v>Yes</v>
      </c>
      <c r="F12" s="29"/>
      <c r="G12" s="50"/>
      <c r="H12" s="50"/>
      <c r="I12" s="50"/>
      <c r="J12" s="50"/>
      <c r="K12" s="50"/>
      <c r="L12" s="50"/>
      <c r="M12" s="50"/>
      <c r="N12" s="54"/>
    </row>
    <row r="13" spans="1:14" ht="15" customHeight="1" x14ac:dyDescent="0.2">
      <c r="A13" s="57"/>
      <c r="B13" s="20" t="s">
        <v>271</v>
      </c>
      <c r="C13" s="473" t="str">
        <f>'General Info'!B152</f>
        <v>Check: sum capital charges from rated and unrated exposures should not be higher than total</v>
      </c>
      <c r="D13" s="549"/>
      <c r="E13" s="77" t="str">
        <f>'General Info'!D152</f>
        <v>Yes</v>
      </c>
      <c r="F13" s="29"/>
      <c r="G13" s="50"/>
      <c r="H13" s="50"/>
      <c r="I13" s="50"/>
      <c r="J13" s="50"/>
      <c r="K13" s="50"/>
      <c r="L13" s="50"/>
      <c r="M13" s="50"/>
      <c r="N13" s="54"/>
    </row>
    <row r="14" spans="1:14" ht="15" customHeight="1" x14ac:dyDescent="0.2">
      <c r="A14" s="57"/>
      <c r="B14" s="20" t="s">
        <v>271</v>
      </c>
      <c r="C14" s="473" t="str">
        <f>'General Info'!B156</f>
        <v>Check: sum capital charges from rated and unrated exposures should not be higher than total</v>
      </c>
      <c r="D14" s="554"/>
      <c r="E14" s="77" t="str">
        <f>'General Info'!D156</f>
        <v>Yes</v>
      </c>
      <c r="F14" s="29"/>
      <c r="G14" s="50"/>
      <c r="H14" s="50"/>
      <c r="I14" s="50"/>
      <c r="J14" s="50"/>
      <c r="K14" s="50"/>
      <c r="L14" s="50"/>
      <c r="M14" s="50"/>
      <c r="N14" s="54"/>
    </row>
    <row r="15" spans="1:14" ht="15" customHeight="1" x14ac:dyDescent="0.2">
      <c r="A15" s="57"/>
      <c r="B15" s="499" t="s">
        <v>425</v>
      </c>
      <c r="C15" s="473" t="str">
        <f>'General Info'!B195</f>
        <v>Check: EAD in row 191 should equal total EAD in row 123.</v>
      </c>
      <c r="D15" s="77" t="str">
        <f>'General Info'!C195</f>
        <v>Yes</v>
      </c>
      <c r="E15" s="548"/>
      <c r="F15" s="29"/>
      <c r="G15" s="50"/>
      <c r="H15" s="50"/>
      <c r="I15" s="50"/>
      <c r="J15" s="50"/>
      <c r="K15" s="50"/>
      <c r="L15" s="50"/>
      <c r="M15" s="50"/>
      <c r="N15" s="54"/>
    </row>
    <row r="16" spans="1:14" ht="15" customHeight="1" x14ac:dyDescent="0.2">
      <c r="A16" s="57"/>
      <c r="B16" s="499" t="s">
        <v>425</v>
      </c>
      <c r="C16" s="473" t="str">
        <f>'General Info'!B196</f>
        <v>Check: EAD in rows 192 to 194 should add up to EAD in row 191.</v>
      </c>
      <c r="D16" s="77" t="str">
        <f>'General Info'!C196</f>
        <v>Yes</v>
      </c>
      <c r="E16" s="551"/>
      <c r="F16" s="29"/>
      <c r="G16" s="50"/>
      <c r="H16" s="50"/>
      <c r="I16" s="50"/>
      <c r="J16" s="50"/>
      <c r="K16" s="50"/>
      <c r="L16" s="50"/>
      <c r="M16" s="50"/>
      <c r="N16" s="54"/>
    </row>
    <row r="17" spans="1:15" ht="15" customHeight="1" x14ac:dyDescent="0.2">
      <c r="A17" s="57"/>
      <c r="B17" s="20" t="s">
        <v>425</v>
      </c>
      <c r="C17" s="473" t="str">
        <f>'General Info'!B212</f>
        <v>Check: total EAD in row 211 should equal total EAD in row 197.</v>
      </c>
      <c r="D17" s="77" t="str">
        <f>'General Info'!C212</f>
        <v>Yes</v>
      </c>
      <c r="E17" s="553"/>
      <c r="F17" s="29"/>
      <c r="G17" s="50"/>
      <c r="H17" s="50"/>
      <c r="I17" s="50"/>
      <c r="J17" s="50"/>
      <c r="K17" s="50"/>
      <c r="L17" s="50"/>
      <c r="M17" s="50"/>
      <c r="N17" s="54"/>
    </row>
    <row r="18" spans="1:15" ht="15" customHeight="1" x14ac:dyDescent="0.2">
      <c r="A18" s="57"/>
      <c r="B18" s="20" t="s">
        <v>425</v>
      </c>
      <c r="C18" s="473" t="str">
        <f>'General Info'!B238</f>
        <v>Check: total RWA for QCCPs should equal total RWA in row 113</v>
      </c>
      <c r="D18" s="79"/>
      <c r="E18" s="77" t="str">
        <f>'General Info'!D238</f>
        <v>Yes</v>
      </c>
      <c r="F18" s="50"/>
      <c r="G18" s="50"/>
      <c r="H18" s="50"/>
      <c r="I18" s="50"/>
      <c r="J18" s="50"/>
      <c r="K18" s="50"/>
      <c r="L18" s="50"/>
      <c r="M18" s="50"/>
      <c r="N18" s="54"/>
      <c r="O18" s="750"/>
    </row>
    <row r="19" spans="1:15" ht="15" customHeight="1" x14ac:dyDescent="0.2">
      <c r="A19" s="57"/>
      <c r="B19" s="50"/>
      <c r="C19" s="74"/>
      <c r="D19" s="50"/>
      <c r="E19" s="50"/>
      <c r="F19" s="50"/>
      <c r="G19" s="50"/>
      <c r="H19" s="50"/>
      <c r="I19" s="50"/>
      <c r="J19" s="50"/>
      <c r="K19" s="50"/>
      <c r="L19" s="50"/>
      <c r="M19" s="50"/>
      <c r="N19" s="54"/>
    </row>
    <row r="20" spans="1:15" s="35" customFormat="1" ht="30" customHeight="1" x14ac:dyDescent="0.25">
      <c r="A20" s="52" t="s">
        <v>663</v>
      </c>
      <c r="B20" s="49"/>
      <c r="C20" s="73"/>
      <c r="D20" s="49"/>
      <c r="E20" s="49"/>
      <c r="F20" s="49"/>
      <c r="G20" s="49"/>
      <c r="H20" s="49"/>
      <c r="I20" s="49"/>
      <c r="J20" s="49"/>
      <c r="K20" s="49"/>
      <c r="L20" s="49"/>
      <c r="M20" s="49"/>
      <c r="N20" s="59"/>
    </row>
    <row r="21" spans="1:15" ht="15" customHeight="1" x14ac:dyDescent="0.2">
      <c r="A21" s="57"/>
      <c r="B21" s="50"/>
      <c r="C21" s="74"/>
      <c r="D21" s="50"/>
      <c r="E21" s="50"/>
      <c r="F21" s="50"/>
      <c r="G21" s="50"/>
      <c r="H21" s="50"/>
      <c r="I21" s="50"/>
      <c r="J21" s="50"/>
      <c r="K21" s="50"/>
      <c r="L21" s="50"/>
      <c r="M21" s="787"/>
      <c r="N21" s="54"/>
    </row>
    <row r="22" spans="1:15" ht="15" customHeight="1" x14ac:dyDescent="0.2">
      <c r="A22" s="57"/>
      <c r="B22" s="412" t="s">
        <v>83</v>
      </c>
      <c r="C22" s="147" t="s">
        <v>84</v>
      </c>
      <c r="D22" s="474" t="str">
        <f>CONCATENATE("Column ", LEFT(ADDRESS(ROW('Leverage Ratio'!D1),COLUMN('Leverage Ratio'!D1),4), 1))</f>
        <v>Column D</v>
      </c>
      <c r="E22" s="474" t="str">
        <f>CONCATENATE("Column ", LEFT(ADDRESS(ROW('Leverage Ratio'!E1),COLUMN('Leverage Ratio'!E1),4), 1))</f>
        <v>Column E</v>
      </c>
      <c r="F22" s="474" t="str">
        <f>CONCATENATE("Column ", LEFT(ADDRESS(ROW('Leverage Ratio'!F1),COLUMN('Leverage Ratio'!F1),4), 1))</f>
        <v>Column F</v>
      </c>
      <c r="G22" s="474" t="str">
        <f>CONCATENATE("Column ", LEFT(ADDRESS(ROW('Leverage Ratio'!G1),COLUMN('Leverage Ratio'!G1),4), 1))</f>
        <v>Column G</v>
      </c>
      <c r="H22" s="474" t="str">
        <f>CONCATENATE("Column ", LEFT(ADDRESS(ROW('Leverage Ratio'!H1),COLUMN('Leverage Ratio'!H1),4), 1))</f>
        <v>Column H</v>
      </c>
      <c r="I22" s="474" t="str">
        <f>CONCATENATE("Column ", LEFT(ADDRESS(ROW('Leverage Ratio'!J1),COLUMN('Leverage Ratio'!J1),4), 1))</f>
        <v>Column J</v>
      </c>
      <c r="J22" s="474" t="str">
        <f>CONCATENATE("Column ", LEFT(ADDRESS(ROW('Leverage Ratio'!K1),COLUMN('Leverage Ratio'!K1),4), 1))</f>
        <v>Column K</v>
      </c>
      <c r="K22" s="474" t="str">
        <f>CONCATENATE("Column ", LEFT(ADDRESS(ROW('Leverage Ratio'!L1),COLUMN('Leverage Ratio'!L1),4), 1))</f>
        <v>Column L</v>
      </c>
      <c r="L22" s="474" t="str">
        <f>CONCATENATE("Column ", LEFT(ADDRESS(ROW('Leverage Ratio'!M1),COLUMN('Leverage Ratio'!M1),4), 1))</f>
        <v>Column M</v>
      </c>
      <c r="M22" s="788" t="str">
        <f>CONCATENATE("Column ", LEFT(ADDRESS(ROW('Leverage Ratio'!N1),COLUMN('Leverage Ratio'!N1),4), 1))</f>
        <v>Column N</v>
      </c>
      <c r="N22" s="54"/>
    </row>
    <row r="23" spans="1:15" ht="15" customHeight="1" x14ac:dyDescent="0.2">
      <c r="A23" s="57"/>
      <c r="B23" s="20" t="s">
        <v>602</v>
      </c>
      <c r="C23" s="473" t="str">
        <f>CONCATENATE('Leverage Ratio'!$H$7, ", ", 'Leverage Ratio'!C10)</f>
        <v>Check: accounting ≤ gross value, Credit derivatives (protection sold)</v>
      </c>
      <c r="D23" s="546"/>
      <c r="E23" s="547"/>
      <c r="F23" s="547"/>
      <c r="G23" s="548"/>
      <c r="H23" s="77" t="str">
        <f>'Leverage Ratio'!H10</f>
        <v>Yes</v>
      </c>
      <c r="I23" s="546"/>
      <c r="J23" s="547"/>
      <c r="K23" s="547"/>
      <c r="L23" s="548"/>
      <c r="M23" s="789" t="str">
        <f>'Leverage Ratio'!N10</f>
        <v>Yes</v>
      </c>
      <c r="N23" s="54"/>
    </row>
    <row r="24" spans="1:15" ht="15" customHeight="1" x14ac:dyDescent="0.2">
      <c r="A24" s="57"/>
      <c r="B24" s="20" t="s">
        <v>602</v>
      </c>
      <c r="C24" s="473" t="str">
        <f>CONCATENATE('Leverage Ratio'!$H$7, ", ", 'Leverage Ratio'!C11)</f>
        <v>Check: accounting ≤ gross value, Credit derivatives (protection bought)</v>
      </c>
      <c r="D24" s="549"/>
      <c r="E24" s="550"/>
      <c r="F24" s="550"/>
      <c r="G24" s="551"/>
      <c r="H24" s="77" t="str">
        <f>'Leverage Ratio'!H11</f>
        <v>Yes</v>
      </c>
      <c r="I24" s="549"/>
      <c r="J24" s="550"/>
      <c r="K24" s="550"/>
      <c r="L24" s="551"/>
      <c r="M24" s="789" t="str">
        <f>'Leverage Ratio'!N11</f>
        <v>Yes</v>
      </c>
      <c r="N24" s="54"/>
    </row>
    <row r="25" spans="1:15" ht="15" customHeight="1" x14ac:dyDescent="0.2">
      <c r="A25" s="57"/>
      <c r="B25" s="20" t="s">
        <v>602</v>
      </c>
      <c r="C25" s="473" t="str">
        <f>CONCATENATE('Leverage Ratio'!$H$7, ", ", 'Leverage Ratio'!C12)</f>
        <v>Check: accounting ≤ gross value, Financial derivatives</v>
      </c>
      <c r="D25" s="549"/>
      <c r="E25" s="550"/>
      <c r="F25" s="550"/>
      <c r="G25" s="551"/>
      <c r="H25" s="77" t="str">
        <f>'Leverage Ratio'!H12</f>
        <v>Yes</v>
      </c>
      <c r="I25" s="549"/>
      <c r="J25" s="550"/>
      <c r="K25" s="550"/>
      <c r="L25" s="551"/>
      <c r="M25" s="789" t="str">
        <f>'Leverage Ratio'!N12</f>
        <v>Yes</v>
      </c>
      <c r="N25" s="54"/>
    </row>
    <row r="26" spans="1:15" ht="15" customHeight="1" x14ac:dyDescent="0.2">
      <c r="A26" s="57"/>
      <c r="B26" s="20" t="s">
        <v>602</v>
      </c>
      <c r="C26" s="473" t="str">
        <f>CONCATENATE('Leverage Ratio'!$H$7, ", ", 'Leverage Ratio'!C14)</f>
        <v>Check: accounting ≤ gross value, SFT covered by a Basel II netting agreement</v>
      </c>
      <c r="D26" s="549"/>
      <c r="E26" s="550"/>
      <c r="F26" s="550"/>
      <c r="G26" s="551"/>
      <c r="H26" s="77" t="str">
        <f>'Leverage Ratio'!H14</f>
        <v>Yes</v>
      </c>
      <c r="I26" s="549"/>
      <c r="J26" s="550"/>
      <c r="K26" s="550"/>
      <c r="L26" s="551"/>
      <c r="M26" s="789" t="str">
        <f>'Leverage Ratio'!N14</f>
        <v>Yes</v>
      </c>
      <c r="N26" s="54"/>
    </row>
    <row r="27" spans="1:15" ht="15" customHeight="1" x14ac:dyDescent="0.2">
      <c r="A27" s="57"/>
      <c r="B27" s="20" t="s">
        <v>602</v>
      </c>
      <c r="C27" s="473" t="str">
        <f>CONCATENATE('Leverage Ratio'!$H$7, ", ", 'Leverage Ratio'!C15)</f>
        <v>Check: accounting ≤ gross value, Other SFT</v>
      </c>
      <c r="D27" s="549"/>
      <c r="E27" s="550"/>
      <c r="F27" s="550"/>
      <c r="G27" s="551"/>
      <c r="H27" s="77" t="str">
        <f>'Leverage Ratio'!H15</f>
        <v>Yes</v>
      </c>
      <c r="I27" s="549"/>
      <c r="J27" s="550"/>
      <c r="K27" s="550"/>
      <c r="L27" s="551"/>
      <c r="M27" s="789" t="str">
        <f>'Leverage Ratio'!N15</f>
        <v>Yes</v>
      </c>
      <c r="N27" s="54"/>
    </row>
    <row r="28" spans="1:15" ht="15" customHeight="1" x14ac:dyDescent="0.2">
      <c r="A28" s="57"/>
      <c r="B28" s="20" t="s">
        <v>602</v>
      </c>
      <c r="C28" s="473" t="str">
        <f>CONCATENATE('Leverage Ratio'!$H$7, ", ", 'Leverage Ratio'!C16)</f>
        <v>Check: accounting ≤ gross value, Other assets</v>
      </c>
      <c r="D28" s="549"/>
      <c r="E28" s="550"/>
      <c r="F28" s="552"/>
      <c r="G28" s="553"/>
      <c r="H28" s="77" t="str">
        <f>'Leverage Ratio'!H16</f>
        <v>Yes</v>
      </c>
      <c r="I28" s="549"/>
      <c r="J28" s="550"/>
      <c r="K28" s="552"/>
      <c r="L28" s="553"/>
      <c r="M28" s="789" t="str">
        <f>'Leverage Ratio'!N16</f>
        <v>Yes</v>
      </c>
      <c r="N28" s="54"/>
    </row>
    <row r="29" spans="1:15" ht="15" customHeight="1" x14ac:dyDescent="0.2">
      <c r="A29" s="57"/>
      <c r="B29" s="20" t="s">
        <v>602</v>
      </c>
      <c r="C29" s="129" t="str">
        <f>'Leverage Ratio'!C24:E24</f>
        <v>Check: Derivatives value with Basel II netting rules ≤ gross values</v>
      </c>
      <c r="D29" s="549"/>
      <c r="E29" s="551"/>
      <c r="F29" s="77" t="str">
        <f>'Leverage Ratio'!F24</f>
        <v>Yes</v>
      </c>
      <c r="G29" s="77" t="str">
        <f>'Leverage Ratio'!G24</f>
        <v>Yes</v>
      </c>
      <c r="H29" s="547"/>
      <c r="I29" s="549"/>
      <c r="J29" s="551"/>
      <c r="K29" s="77" t="str">
        <f>'Leverage Ratio'!L24</f>
        <v>Yes</v>
      </c>
      <c r="L29" s="77" t="str">
        <f>'Leverage Ratio'!M24</f>
        <v>Yes</v>
      </c>
      <c r="M29" s="548"/>
      <c r="N29" s="54"/>
    </row>
    <row r="30" spans="1:15" ht="15" customHeight="1" x14ac:dyDescent="0.2">
      <c r="A30" s="57"/>
      <c r="B30" s="20" t="s">
        <v>602</v>
      </c>
      <c r="C30" s="129" t="str">
        <f>'Leverage Ratio'!C25:E25</f>
        <v>Check: Cash collateral received in derivatives transactions ≤ other assets</v>
      </c>
      <c r="D30" s="545"/>
      <c r="E30" s="78" t="str">
        <f>'Leverage Ratio'!E25</f>
        <v>Yes</v>
      </c>
      <c r="F30" s="546"/>
      <c r="G30" s="550"/>
      <c r="H30" s="550"/>
      <c r="I30" s="545"/>
      <c r="J30" s="78" t="str">
        <f>'Leverage Ratio'!K25</f>
        <v>Yes</v>
      </c>
      <c r="K30" s="546"/>
      <c r="L30" s="550"/>
      <c r="M30" s="551"/>
      <c r="N30" s="54"/>
    </row>
    <row r="31" spans="1:15" ht="15" customHeight="1" x14ac:dyDescent="0.2">
      <c r="A31" s="57"/>
      <c r="B31" s="20" t="s">
        <v>602</v>
      </c>
      <c r="C31" s="129" t="str">
        <f>'Leverage Ratio'!C26:E26</f>
        <v>Check: Receivables for cash collateral posted in derivatives transactions ≤ other assets</v>
      </c>
      <c r="D31" s="545"/>
      <c r="E31" s="77" t="str">
        <f>'Leverage Ratio'!E26</f>
        <v>Yes</v>
      </c>
      <c r="F31" s="549"/>
      <c r="G31" s="550"/>
      <c r="H31" s="550"/>
      <c r="I31" s="545"/>
      <c r="J31" s="77" t="str">
        <f>'Leverage Ratio'!K26</f>
        <v>Yes</v>
      </c>
      <c r="K31" s="549"/>
      <c r="L31" s="550"/>
      <c r="M31" s="551"/>
      <c r="N31" s="54"/>
    </row>
    <row r="32" spans="1:15" ht="15" customHeight="1" x14ac:dyDescent="0.2">
      <c r="A32" s="57"/>
      <c r="B32" s="20" t="s">
        <v>602</v>
      </c>
      <c r="C32" s="129" t="str">
        <f>'Leverage Ratio'!C27:E27</f>
        <v>Check: Securities received in a SFT that are recognised as an asset ≤ other assets</v>
      </c>
      <c r="D32" s="545"/>
      <c r="E32" s="77" t="str">
        <f>'Leverage Ratio'!E27</f>
        <v>Yes</v>
      </c>
      <c r="F32" s="549"/>
      <c r="G32" s="550"/>
      <c r="H32" s="550"/>
      <c r="I32" s="545"/>
      <c r="J32" s="77" t="str">
        <f>'Leverage Ratio'!K27</f>
        <v>Yes</v>
      </c>
      <c r="K32" s="549"/>
      <c r="L32" s="550"/>
      <c r="M32" s="551"/>
      <c r="N32" s="54"/>
    </row>
    <row r="33" spans="1:14" ht="15" customHeight="1" x14ac:dyDescent="0.2">
      <c r="A33" s="57"/>
      <c r="B33" s="20" t="s">
        <v>602</v>
      </c>
      <c r="C33" s="129" t="str">
        <f>'Leverage Ratio'!C28:E28</f>
        <v>Check: Memo item on SFT cash conduit lending (cash receivables) ≤ SFT total</v>
      </c>
      <c r="D33" s="545"/>
      <c r="E33" s="77" t="str">
        <f>'Leverage Ratio'!E28</f>
        <v>Yes</v>
      </c>
      <c r="F33" s="554"/>
      <c r="G33" s="550"/>
      <c r="H33" s="550"/>
      <c r="I33" s="545"/>
      <c r="J33" s="77" t="str">
        <f>'Leverage Ratio'!K28</f>
        <v>Yes</v>
      </c>
      <c r="K33" s="554"/>
      <c r="L33" s="550"/>
      <c r="M33" s="551"/>
      <c r="N33" s="54"/>
    </row>
    <row r="34" spans="1:14" ht="15" customHeight="1" x14ac:dyDescent="0.2">
      <c r="A34" s="57"/>
      <c r="B34" s="20" t="s">
        <v>603</v>
      </c>
      <c r="C34" s="473" t="str">
        <f>CONCATENATE('Leverage Ratio'!$H$33, ", ", 'Leverage Ratio'!C37)</f>
        <v>Check: notional ≥ accounting value, Credit derivatives (protection sold); of which:</v>
      </c>
      <c r="D34" s="549"/>
      <c r="E34" s="548"/>
      <c r="F34" s="77" t="str">
        <f>'Leverage Ratio'!H37</f>
        <v>Yes</v>
      </c>
      <c r="G34" s="549"/>
      <c r="H34" s="550"/>
      <c r="I34" s="549"/>
      <c r="J34" s="548"/>
      <c r="K34" s="77" t="str">
        <f>'Leverage Ratio'!N37</f>
        <v>Yes</v>
      </c>
      <c r="L34" s="549"/>
      <c r="M34" s="551"/>
      <c r="N34" s="54"/>
    </row>
    <row r="35" spans="1:14" ht="15" customHeight="1" x14ac:dyDescent="0.2">
      <c r="A35" s="57"/>
      <c r="B35" s="20" t="s">
        <v>603</v>
      </c>
      <c r="C35" s="473" t="str">
        <f>CONCATENATE('Leverage Ratio'!$H$33, ", ", 'Leverage Ratio'!C40)</f>
        <v>Check: notional ≥ accounting value, Credit derivatives (protection bought)</v>
      </c>
      <c r="D35" s="549"/>
      <c r="E35" s="551"/>
      <c r="F35" s="77" t="str">
        <f>'Leverage Ratio'!H40</f>
        <v>Yes</v>
      </c>
      <c r="G35" s="549"/>
      <c r="H35" s="550"/>
      <c r="I35" s="549"/>
      <c r="J35" s="551"/>
      <c r="K35" s="77" t="str">
        <f>'Leverage Ratio'!N40</f>
        <v>Yes</v>
      </c>
      <c r="L35" s="549"/>
      <c r="M35" s="551"/>
      <c r="N35" s="54"/>
    </row>
    <row r="36" spans="1:14" ht="15" customHeight="1" x14ac:dyDescent="0.2">
      <c r="A36" s="57"/>
      <c r="B36" s="20" t="s">
        <v>603</v>
      </c>
      <c r="C36" s="473" t="str">
        <f>CONCATENATE('Leverage Ratio'!$H$33, ", ", 'Leverage Ratio'!C41)</f>
        <v>Check: notional ≥ accounting value, Financial derivatives</v>
      </c>
      <c r="D36" s="549"/>
      <c r="E36" s="551"/>
      <c r="F36" s="77" t="str">
        <f>'Leverage Ratio'!H41</f>
        <v>Yes</v>
      </c>
      <c r="G36" s="554"/>
      <c r="H36" s="550"/>
      <c r="I36" s="549"/>
      <c r="J36" s="551"/>
      <c r="K36" s="77" t="str">
        <f>'Leverage Ratio'!N41</f>
        <v>Yes</v>
      </c>
      <c r="L36" s="554"/>
      <c r="M36" s="551"/>
      <c r="N36" s="54"/>
    </row>
    <row r="37" spans="1:14" ht="15" customHeight="1" x14ac:dyDescent="0.2">
      <c r="A37" s="57"/>
      <c r="B37" s="20" t="s">
        <v>603</v>
      </c>
      <c r="C37" s="473" t="str">
        <f>'Leverage Ratio'!C51</f>
        <v>Check: Unconditionally cancellable commitments should not exceed off-balance items with a 0% CCF</v>
      </c>
      <c r="D37" s="554"/>
      <c r="E37" s="550"/>
      <c r="F37" s="548"/>
      <c r="G37" s="77" t="str">
        <f>'Leverage Ratio'!G51</f>
        <v>Yes</v>
      </c>
      <c r="H37" s="549"/>
      <c r="I37" s="554"/>
      <c r="J37" s="550"/>
      <c r="K37" s="548"/>
      <c r="L37" s="77" t="str">
        <f>'Leverage Ratio'!M51</f>
        <v>Yes</v>
      </c>
      <c r="M37" s="545"/>
      <c r="N37" s="54"/>
    </row>
    <row r="38" spans="1:14" ht="15" customHeight="1" x14ac:dyDescent="0.2">
      <c r="A38" s="57"/>
      <c r="B38" s="20" t="s">
        <v>570</v>
      </c>
      <c r="C38" s="473" t="str">
        <f>'Leverage Ratio'!C74</f>
        <v>Check: Total equals total accounting values in panel A</v>
      </c>
      <c r="D38" s="77" t="str">
        <f>'Leverage Ratio'!D74</f>
        <v>Yes</v>
      </c>
      <c r="E38" s="549"/>
      <c r="F38" s="550"/>
      <c r="G38" s="547"/>
      <c r="H38" s="551"/>
      <c r="I38" s="77" t="str">
        <f>'Leverage Ratio'!J74</f>
        <v>Yes</v>
      </c>
      <c r="J38" s="549"/>
      <c r="K38" s="550"/>
      <c r="L38" s="547"/>
      <c r="M38" s="551"/>
      <c r="N38" s="54"/>
    </row>
    <row r="39" spans="1:14" ht="15" customHeight="1" x14ac:dyDescent="0.2">
      <c r="A39" s="57"/>
      <c r="B39" s="20" t="s">
        <v>570</v>
      </c>
      <c r="C39" s="473" t="str">
        <f>'Leverage Ratio'!C80</f>
        <v>Check: Total equals total gross values in panel A</v>
      </c>
      <c r="D39" s="77" t="str">
        <f>'Leverage Ratio'!D80</f>
        <v>Yes</v>
      </c>
      <c r="E39" s="549"/>
      <c r="F39" s="550"/>
      <c r="G39" s="550"/>
      <c r="H39" s="551"/>
      <c r="I39" s="77" t="str">
        <f>'Leverage Ratio'!J80</f>
        <v>Yes</v>
      </c>
      <c r="J39" s="549"/>
      <c r="K39" s="550"/>
      <c r="L39" s="550"/>
      <c r="M39" s="551"/>
      <c r="N39" s="54"/>
    </row>
    <row r="40" spans="1:14" ht="15" customHeight="1" x14ac:dyDescent="0.2">
      <c r="A40" s="57"/>
      <c r="B40" s="20" t="s">
        <v>571</v>
      </c>
      <c r="C40" s="473" t="str">
        <f>'Leverage Ratio'!C92</f>
        <v>Check: Sum of total credit derivatives should be the same as that in panel B</v>
      </c>
      <c r="D40" s="77" t="str">
        <f>'Leverage Ratio'!D92</f>
        <v>Yes</v>
      </c>
      <c r="E40" s="549"/>
      <c r="F40" s="550"/>
      <c r="G40" s="550"/>
      <c r="H40" s="551"/>
      <c r="I40" s="77" t="str">
        <f>'Leverage Ratio'!J92</f>
        <v>Yes</v>
      </c>
      <c r="J40" s="549"/>
      <c r="K40" s="550"/>
      <c r="L40" s="550"/>
      <c r="M40" s="551"/>
      <c r="N40" s="54"/>
    </row>
    <row r="41" spans="1:14" ht="15" customHeight="1" x14ac:dyDescent="0.2">
      <c r="A41" s="57"/>
      <c r="B41" s="20" t="s">
        <v>571</v>
      </c>
      <c r="C41" s="473" t="str">
        <f>'Leverage Ratio'!C93</f>
        <v>Check: Credit derivatives (protection sold) should be the same as that in panel B</v>
      </c>
      <c r="D41" s="77" t="str">
        <f>'Leverage Ratio'!D93</f>
        <v>Yes</v>
      </c>
      <c r="E41" s="549"/>
      <c r="F41" s="550"/>
      <c r="G41" s="550"/>
      <c r="H41" s="551"/>
      <c r="I41" s="77" t="str">
        <f>'Leverage Ratio'!J93</f>
        <v>Yes</v>
      </c>
      <c r="J41" s="549"/>
      <c r="K41" s="550"/>
      <c r="L41" s="550"/>
      <c r="M41" s="551"/>
      <c r="N41" s="54"/>
    </row>
    <row r="42" spans="1:14" ht="15" customHeight="1" x14ac:dyDescent="0.2">
      <c r="A42" s="57"/>
      <c r="B42" s="20" t="s">
        <v>571</v>
      </c>
      <c r="C42" s="473" t="str">
        <f>'Leverage Ratio'!C94</f>
        <v>Check: Credit derivatives (protection bought) should be the same as that in panel B</v>
      </c>
      <c r="D42" s="571" t="str">
        <f>'Leverage Ratio'!D94</f>
        <v>Yes</v>
      </c>
      <c r="E42" s="549"/>
      <c r="F42" s="550"/>
      <c r="G42" s="550"/>
      <c r="H42" s="551"/>
      <c r="I42" s="77" t="str">
        <f>'Leverage Ratio'!J94</f>
        <v>Yes</v>
      </c>
      <c r="J42" s="554"/>
      <c r="K42" s="552"/>
      <c r="L42" s="550"/>
      <c r="M42" s="551"/>
      <c r="N42" s="54"/>
    </row>
    <row r="43" spans="1:14" ht="15" customHeight="1" x14ac:dyDescent="0.2">
      <c r="A43" s="57"/>
      <c r="B43" s="20" t="s">
        <v>571</v>
      </c>
      <c r="C43" s="473" t="str">
        <f>'Leverage Ratio'!C95</f>
        <v>Check: Credit derivatives purchased are consistently filled-in (see reporting instructions for more details)</v>
      </c>
      <c r="D43" s="78" t="str">
        <f>'Leverage Ratio'!D95</f>
        <v>Yes</v>
      </c>
      <c r="E43" s="78" t="str">
        <f>'Leverage Ratio'!E95</f>
        <v>Yes</v>
      </c>
      <c r="F43" s="78" t="str">
        <f>'Leverage Ratio'!F95</f>
        <v>Yes</v>
      </c>
      <c r="G43" s="78" t="str">
        <f>'Leverage Ratio'!G95</f>
        <v>Yes</v>
      </c>
      <c r="H43" s="78" t="str">
        <f>'Leverage Ratio'!H95</f>
        <v>Yes</v>
      </c>
      <c r="I43" s="77" t="str">
        <f>'Leverage Ratio'!J95</f>
        <v>Yes</v>
      </c>
      <c r="J43" s="77" t="str">
        <f>'Leverage Ratio'!K95</f>
        <v>Yes</v>
      </c>
      <c r="K43" s="77" t="str">
        <f>'Leverage Ratio'!L95</f>
        <v>Yes</v>
      </c>
      <c r="L43" s="78" t="str">
        <f>'Leverage Ratio'!M95</f>
        <v>Yes</v>
      </c>
      <c r="M43" s="789" t="str">
        <f>'Leverage Ratio'!N95</f>
        <v>Yes</v>
      </c>
      <c r="N43" s="54"/>
    </row>
    <row r="44" spans="1:14" ht="15" customHeight="1" x14ac:dyDescent="0.2">
      <c r="A44" s="57"/>
      <c r="B44" s="20" t="s">
        <v>319</v>
      </c>
      <c r="C44" s="473" t="str">
        <f>'Leverage Ratio'!C147</f>
        <v>Check: PSEs in rows 145 and 146 should be less than or equal to overall PSEs in row 144</v>
      </c>
      <c r="D44" s="546"/>
      <c r="E44" s="547"/>
      <c r="F44" s="547"/>
      <c r="G44" s="550"/>
      <c r="H44" s="548"/>
      <c r="I44" s="77" t="str">
        <f>'Leverage Ratio'!J147</f>
        <v>Yes</v>
      </c>
      <c r="J44" s="546"/>
      <c r="K44" s="547"/>
      <c r="L44" s="550"/>
      <c r="M44" s="548"/>
      <c r="N44" s="54"/>
    </row>
    <row r="45" spans="1:14" ht="15" customHeight="1" x14ac:dyDescent="0.2">
      <c r="A45" s="57"/>
      <c r="B45" s="20" t="s">
        <v>319</v>
      </c>
      <c r="C45" s="473" t="str">
        <f>'Leverage Ratio'!C164</f>
        <v>Check: Securitisation exposures should be lower than total other exposures</v>
      </c>
      <c r="D45" s="549"/>
      <c r="E45" s="550"/>
      <c r="F45" s="550"/>
      <c r="G45" s="550"/>
      <c r="H45" s="551"/>
      <c r="I45" s="77" t="str">
        <f>'Leverage Ratio'!J164</f>
        <v>Yes</v>
      </c>
      <c r="J45" s="549"/>
      <c r="K45" s="550"/>
      <c r="L45" s="550"/>
      <c r="M45" s="551"/>
      <c r="N45" s="54"/>
    </row>
    <row r="46" spans="1:14" ht="15" customHeight="1" x14ac:dyDescent="0.2">
      <c r="A46" s="57"/>
      <c r="B46" s="20" t="s">
        <v>319</v>
      </c>
      <c r="C46" s="473" t="str">
        <f>'Leverage Ratio'!C165</f>
        <v>Check: Total value in cell J135 should equal total exposures in panels A and B.</v>
      </c>
      <c r="D46" s="554"/>
      <c r="E46" s="552"/>
      <c r="F46" s="552"/>
      <c r="G46" s="552"/>
      <c r="H46" s="553"/>
      <c r="I46" s="77" t="str">
        <f>'Leverage Ratio'!J165</f>
        <v>Yes</v>
      </c>
      <c r="J46" s="554"/>
      <c r="K46" s="552"/>
      <c r="L46" s="552"/>
      <c r="M46" s="553"/>
      <c r="N46" s="54"/>
    </row>
    <row r="47" spans="1:14" ht="15" customHeight="1" x14ac:dyDescent="0.2">
      <c r="A47" s="57"/>
      <c r="B47" s="50"/>
      <c r="C47" s="74"/>
      <c r="D47" s="50"/>
      <c r="E47" s="50"/>
      <c r="F47" s="50"/>
      <c r="G47" s="50"/>
      <c r="H47" s="50"/>
      <c r="I47" s="50"/>
      <c r="J47" s="50"/>
      <c r="K47" s="50"/>
      <c r="L47" s="50"/>
      <c r="M47" s="787"/>
      <c r="N47" s="54"/>
    </row>
    <row r="48" spans="1:14" s="35" customFormat="1" ht="30" customHeight="1" x14ac:dyDescent="0.25">
      <c r="A48" s="52" t="s">
        <v>664</v>
      </c>
      <c r="B48" s="49"/>
      <c r="C48" s="73"/>
      <c r="D48" s="49"/>
      <c r="E48" s="49"/>
      <c r="F48" s="49"/>
      <c r="G48" s="49"/>
      <c r="H48" s="49"/>
      <c r="I48" s="49"/>
      <c r="J48" s="49"/>
      <c r="K48" s="49"/>
      <c r="L48" s="49"/>
      <c r="M48" s="49"/>
      <c r="N48" s="59"/>
    </row>
    <row r="49" spans="1:14" ht="15" customHeight="1" x14ac:dyDescent="0.2">
      <c r="A49" s="57"/>
      <c r="B49" s="50"/>
      <c r="C49" s="74"/>
      <c r="D49" s="50"/>
      <c r="E49" s="50"/>
      <c r="F49" s="50"/>
      <c r="G49" s="50"/>
      <c r="H49" s="50"/>
      <c r="I49" s="50"/>
      <c r="J49" s="50"/>
      <c r="K49" s="50"/>
      <c r="L49" s="50"/>
      <c r="M49" s="50"/>
      <c r="N49" s="54"/>
    </row>
    <row r="50" spans="1:14" ht="15" customHeight="1" x14ac:dyDescent="0.2">
      <c r="A50" s="57"/>
      <c r="B50" s="412" t="s">
        <v>83</v>
      </c>
      <c r="C50" s="147" t="s">
        <v>84</v>
      </c>
      <c r="D50" s="474" t="str">
        <f>CONCATENATE("Column ", LEFT(ADDRESS(ROW(LCR!D1),COLUMN(LCR!D1),4), 1))</f>
        <v>Column D</v>
      </c>
      <c r="E50" s="474" t="str">
        <f>CONCATENATE("Column ", LEFT(ADDRESS(ROW(LCR!E1),COLUMN(LCR!E1),4), 1))</f>
        <v>Column E</v>
      </c>
      <c r="F50" s="474" t="str">
        <f>CONCATENATE("Column ", LEFT(ADDRESS(ROW(LCR!F1),COLUMN(LCR!F1),4), 1))</f>
        <v>Column F</v>
      </c>
      <c r="G50" s="474" t="str">
        <f>CONCATENATE("Column ", LEFT(ADDRESS(ROW(LCR!G1),COLUMN(LCR!G1),4), 1))</f>
        <v>Column G</v>
      </c>
      <c r="H50" s="50"/>
      <c r="I50" s="50"/>
      <c r="J50" s="50"/>
      <c r="K50" s="50"/>
      <c r="L50" s="50"/>
      <c r="M50" s="50"/>
      <c r="N50" s="54"/>
    </row>
    <row r="51" spans="1:14" ht="15" customHeight="1" x14ac:dyDescent="0.2">
      <c r="A51" s="57"/>
      <c r="B51" s="20" t="s">
        <v>320</v>
      </c>
      <c r="C51" s="473" t="str">
        <f>LCR!B9</f>
        <v>Check: row 8 ≤ row 7</v>
      </c>
      <c r="D51" s="495" t="str">
        <f>LCR!D9</f>
        <v>Pass</v>
      </c>
      <c r="E51" s="546"/>
      <c r="F51" s="557"/>
      <c r="G51" s="548"/>
      <c r="H51" s="50"/>
      <c r="I51" s="50"/>
      <c r="J51" s="50"/>
      <c r="K51" s="50"/>
      <c r="L51" s="50"/>
      <c r="M51" s="50"/>
      <c r="N51" s="54"/>
    </row>
    <row r="52" spans="1:14" ht="15" customHeight="1" x14ac:dyDescent="0.2">
      <c r="A52" s="57"/>
      <c r="B52" s="20" t="s">
        <v>321</v>
      </c>
      <c r="C52" s="473" t="str">
        <f>LCR!B58</f>
        <v>Check: row 57 ≤ row 56</v>
      </c>
      <c r="D52" s="495" t="str">
        <f>LCR!D58</f>
        <v>Pass</v>
      </c>
      <c r="E52" s="495" t="str">
        <f>LCR!E58</f>
        <v>Pass</v>
      </c>
      <c r="F52" s="495" t="str">
        <f>LCR!F58</f>
        <v>Pass</v>
      </c>
      <c r="G52" s="495" t="str">
        <f>LCR!G58</f>
        <v>Pass</v>
      </c>
      <c r="H52" s="50"/>
      <c r="I52" s="50"/>
      <c r="J52" s="50"/>
      <c r="K52" s="50"/>
      <c r="L52" s="50"/>
      <c r="M52" s="50"/>
      <c r="N52" s="54"/>
    </row>
    <row r="53" spans="1:14" ht="15" customHeight="1" x14ac:dyDescent="0.2">
      <c r="A53" s="57"/>
      <c r="B53" s="20" t="s">
        <v>321</v>
      </c>
      <c r="C53" s="473" t="str">
        <f>LCR!B61</f>
        <v>Check: row 60 ≤ row 59</v>
      </c>
      <c r="D53" s="495" t="str">
        <f>LCR!D61</f>
        <v>Pass</v>
      </c>
      <c r="E53" s="495" t="str">
        <f>LCR!E61</f>
        <v>Pass</v>
      </c>
      <c r="F53" s="495" t="str">
        <f>LCR!F61</f>
        <v>Pass</v>
      </c>
      <c r="G53" s="495" t="str">
        <f>LCR!G61</f>
        <v>Pass</v>
      </c>
      <c r="H53" s="50"/>
      <c r="I53" s="50"/>
      <c r="J53" s="50"/>
      <c r="K53" s="50"/>
      <c r="L53" s="50"/>
      <c r="M53" s="50"/>
      <c r="N53" s="54"/>
    </row>
    <row r="54" spans="1:14" ht="15" customHeight="1" x14ac:dyDescent="0.2">
      <c r="A54" s="57"/>
      <c r="B54" s="20" t="s">
        <v>322</v>
      </c>
      <c r="C54" s="473" t="str">
        <f>LCR!B170</f>
        <v>Check: row 169 ≤ sum of rows 162 and 163</v>
      </c>
      <c r="D54" s="495" t="str">
        <f>LCR!D170</f>
        <v>Pass</v>
      </c>
      <c r="E54" s="546"/>
      <c r="F54" s="550"/>
      <c r="G54" s="548"/>
      <c r="H54" s="50"/>
      <c r="I54" s="50"/>
      <c r="J54" s="50"/>
      <c r="K54" s="50"/>
      <c r="L54" s="50"/>
      <c r="M54" s="50"/>
      <c r="N54" s="54"/>
    </row>
    <row r="55" spans="1:14" ht="15" customHeight="1" x14ac:dyDescent="0.2">
      <c r="A55" s="57"/>
      <c r="B55" s="20" t="s">
        <v>322</v>
      </c>
      <c r="C55" s="473" t="str">
        <f>LCR!B172</f>
        <v>Check: row 171 ≤ sum of rows 162 and 163</v>
      </c>
      <c r="D55" s="495" t="str">
        <f>LCR!D172</f>
        <v>Pass</v>
      </c>
      <c r="E55" s="549"/>
      <c r="F55" s="550"/>
      <c r="G55" s="551"/>
      <c r="H55" s="50"/>
      <c r="I55" s="50"/>
      <c r="J55" s="50"/>
      <c r="K55" s="50"/>
      <c r="L55" s="50"/>
      <c r="M55" s="50"/>
      <c r="N55" s="54"/>
    </row>
    <row r="56" spans="1:14" ht="15" customHeight="1" x14ac:dyDescent="0.2">
      <c r="A56" s="57"/>
      <c r="B56" s="20" t="s">
        <v>322</v>
      </c>
      <c r="C56" s="473" t="str">
        <f>LCR!B174</f>
        <v>Check: row 173 ≤ sum of rows 155 to 163</v>
      </c>
      <c r="D56" s="495" t="str">
        <f>LCR!D174</f>
        <v>Pass</v>
      </c>
      <c r="E56" s="554"/>
      <c r="F56" s="550"/>
      <c r="G56" s="551"/>
      <c r="H56" s="50"/>
      <c r="I56" s="50"/>
      <c r="J56" s="50"/>
      <c r="K56" s="50"/>
      <c r="L56" s="50"/>
      <c r="M56" s="50"/>
      <c r="N56" s="54"/>
    </row>
    <row r="57" spans="1:14" ht="15" customHeight="1" x14ac:dyDescent="0.2">
      <c r="A57" s="57"/>
      <c r="B57" s="499" t="s">
        <v>163</v>
      </c>
      <c r="C57" s="473" t="str">
        <f>LCR!B180</f>
        <v>Check: row 179 ≤ row 178</v>
      </c>
      <c r="D57" s="495" t="str">
        <f>LCR!D180</f>
        <v>Pass</v>
      </c>
      <c r="E57" s="495" t="str">
        <f>LCR!E180</f>
        <v>Pass</v>
      </c>
      <c r="F57" s="549"/>
      <c r="G57" s="551"/>
      <c r="H57" s="50"/>
      <c r="I57" s="50"/>
      <c r="J57" s="50"/>
      <c r="K57" s="50"/>
      <c r="L57" s="50"/>
      <c r="M57" s="50"/>
      <c r="N57" s="54"/>
    </row>
    <row r="58" spans="1:14" ht="15" customHeight="1" x14ac:dyDescent="0.2">
      <c r="A58" s="57"/>
      <c r="B58" s="499" t="s">
        <v>163</v>
      </c>
      <c r="C58" s="473" t="str">
        <f>LCR!B183</f>
        <v>Check: row 182 ≤ row 181</v>
      </c>
      <c r="D58" s="495" t="str">
        <f>LCR!D183</f>
        <v>Pass</v>
      </c>
      <c r="E58" s="495" t="str">
        <f>LCR!E183</f>
        <v>Pass</v>
      </c>
      <c r="F58" s="549"/>
      <c r="G58" s="551"/>
      <c r="H58" s="50"/>
      <c r="I58" s="50"/>
      <c r="J58" s="50"/>
      <c r="K58" s="50"/>
      <c r="L58" s="50"/>
      <c r="M58" s="50"/>
      <c r="N58" s="54"/>
    </row>
    <row r="59" spans="1:14" ht="15" customHeight="1" x14ac:dyDescent="0.2">
      <c r="A59" s="57"/>
      <c r="B59" s="499" t="s">
        <v>163</v>
      </c>
      <c r="C59" s="473" t="str">
        <f>LCR!B186</f>
        <v>Check: row 185 ≤ row 184</v>
      </c>
      <c r="D59" s="495" t="str">
        <f>LCR!D186</f>
        <v>Pass</v>
      </c>
      <c r="E59" s="495" t="str">
        <f>LCR!E186</f>
        <v>Pass</v>
      </c>
      <c r="F59" s="549"/>
      <c r="G59" s="551"/>
      <c r="H59" s="50"/>
      <c r="I59" s="50"/>
      <c r="J59" s="50"/>
      <c r="K59" s="50"/>
      <c r="L59" s="50"/>
      <c r="M59" s="50"/>
      <c r="N59" s="54"/>
    </row>
    <row r="60" spans="1:14" ht="15" customHeight="1" x14ac:dyDescent="0.2">
      <c r="A60" s="57"/>
      <c r="B60" s="499" t="s">
        <v>163</v>
      </c>
      <c r="C60" s="473" t="str">
        <f>LCR!B189</f>
        <v>Check: row 188 ≤ row 187</v>
      </c>
      <c r="D60" s="495" t="str">
        <f>LCR!D189</f>
        <v>Pass</v>
      </c>
      <c r="E60" s="495" t="str">
        <f>LCR!E189</f>
        <v>Pass</v>
      </c>
      <c r="F60" s="549"/>
      <c r="G60" s="551"/>
      <c r="H60" s="50"/>
      <c r="I60" s="50"/>
      <c r="J60" s="50"/>
      <c r="K60" s="50"/>
      <c r="L60" s="50"/>
      <c r="M60" s="50"/>
      <c r="N60" s="54"/>
    </row>
    <row r="61" spans="1:14" ht="15" customHeight="1" x14ac:dyDescent="0.2">
      <c r="A61" s="282"/>
      <c r="B61" s="499" t="s">
        <v>163</v>
      </c>
      <c r="C61" s="473" t="str">
        <f>LCR!B193</f>
        <v>Check: row 192 ≤ row 191</v>
      </c>
      <c r="D61" s="495" t="str">
        <f>LCR!D193</f>
        <v>Pass</v>
      </c>
      <c r="E61" s="495" t="str">
        <f>LCR!E193</f>
        <v>Pass</v>
      </c>
      <c r="F61" s="549"/>
      <c r="G61" s="551"/>
      <c r="H61" s="29"/>
      <c r="I61" s="29"/>
      <c r="J61" s="29"/>
      <c r="K61" s="29"/>
      <c r="L61" s="29"/>
      <c r="M61" s="29"/>
      <c r="N61" s="30"/>
    </row>
    <row r="62" spans="1:14" ht="15" customHeight="1" x14ac:dyDescent="0.2">
      <c r="A62" s="282"/>
      <c r="B62" s="499" t="s">
        <v>163</v>
      </c>
      <c r="C62" s="473" t="str">
        <f>LCR!B196</f>
        <v>Check: row 195 ≤ row 194</v>
      </c>
      <c r="D62" s="495" t="str">
        <f>LCR!D196</f>
        <v>Pass</v>
      </c>
      <c r="E62" s="495" t="str">
        <f>LCR!E196</f>
        <v>Pass</v>
      </c>
      <c r="F62" s="549"/>
      <c r="G62" s="551"/>
      <c r="H62" s="29"/>
      <c r="I62" s="29"/>
      <c r="J62" s="29"/>
      <c r="K62" s="29"/>
      <c r="L62" s="29"/>
      <c r="M62" s="29"/>
      <c r="N62" s="30"/>
    </row>
    <row r="63" spans="1:14" ht="15" customHeight="1" x14ac:dyDescent="0.2">
      <c r="A63" s="282"/>
      <c r="B63" s="499" t="s">
        <v>163</v>
      </c>
      <c r="C63" s="473" t="str">
        <f>LCR!B199</f>
        <v>Check: row 198 ≤ row 197</v>
      </c>
      <c r="D63" s="495" t="str">
        <f>LCR!D199</f>
        <v>Pass</v>
      </c>
      <c r="E63" s="495" t="str">
        <f>LCR!E199</f>
        <v>Pass</v>
      </c>
      <c r="F63" s="549"/>
      <c r="G63" s="551"/>
      <c r="H63" s="29"/>
      <c r="I63" s="29"/>
      <c r="J63" s="29"/>
      <c r="K63" s="29"/>
      <c r="L63" s="29"/>
      <c r="M63" s="29"/>
      <c r="N63" s="30"/>
    </row>
    <row r="64" spans="1:14" ht="15" customHeight="1" x14ac:dyDescent="0.2">
      <c r="A64" s="282"/>
      <c r="B64" s="499" t="s">
        <v>163</v>
      </c>
      <c r="C64" s="473" t="str">
        <f>LCR!B203</f>
        <v>Check: row 202 ≤ row 201</v>
      </c>
      <c r="D64" s="495" t="str">
        <f>LCR!D203</f>
        <v>Pass</v>
      </c>
      <c r="E64" s="495" t="str">
        <f>LCR!E203</f>
        <v>Pass</v>
      </c>
      <c r="F64" s="549"/>
      <c r="G64" s="551"/>
      <c r="H64" s="29"/>
      <c r="I64" s="29"/>
      <c r="J64" s="29"/>
      <c r="K64" s="29"/>
      <c r="L64" s="29"/>
      <c r="M64" s="29"/>
      <c r="N64" s="30"/>
    </row>
    <row r="65" spans="1:14" ht="15" customHeight="1" x14ac:dyDescent="0.2">
      <c r="A65" s="282"/>
      <c r="B65" s="499" t="s">
        <v>163</v>
      </c>
      <c r="C65" s="473" t="str">
        <f>LCR!B206</f>
        <v>Check: row 205 ≤ row 204</v>
      </c>
      <c r="D65" s="495" t="str">
        <f>LCR!D206</f>
        <v>Pass</v>
      </c>
      <c r="E65" s="495" t="str">
        <f>LCR!E206</f>
        <v>Pass</v>
      </c>
      <c r="F65" s="549"/>
      <c r="G65" s="551"/>
      <c r="H65" s="29"/>
      <c r="I65" s="29"/>
      <c r="J65" s="29"/>
      <c r="K65" s="29"/>
      <c r="L65" s="29"/>
      <c r="M65" s="29"/>
      <c r="N65" s="30"/>
    </row>
    <row r="66" spans="1:14" ht="15" customHeight="1" x14ac:dyDescent="0.2">
      <c r="A66" s="282"/>
      <c r="B66" s="499" t="s">
        <v>164</v>
      </c>
      <c r="C66" s="473" t="str">
        <f>LCR!B277</f>
        <v>Check: row 276 ≤ row 275</v>
      </c>
      <c r="D66" s="495" t="str">
        <f>LCR!D277</f>
        <v>Pass</v>
      </c>
      <c r="E66" s="495" t="str">
        <f>LCR!E277</f>
        <v>Pass</v>
      </c>
      <c r="F66" s="549"/>
      <c r="G66" s="551"/>
      <c r="H66" s="29"/>
      <c r="I66" s="29"/>
      <c r="J66" s="29"/>
      <c r="K66" s="29"/>
      <c r="L66" s="29"/>
      <c r="M66" s="29"/>
      <c r="N66" s="30"/>
    </row>
    <row r="67" spans="1:14" ht="15" customHeight="1" x14ac:dyDescent="0.2">
      <c r="A67" s="282"/>
      <c r="B67" s="499" t="s">
        <v>164</v>
      </c>
      <c r="C67" s="473" t="str">
        <f>LCR!B280</f>
        <v>Check: row 279 ≤ row 278</v>
      </c>
      <c r="D67" s="495" t="str">
        <f>LCR!D280</f>
        <v>Pass</v>
      </c>
      <c r="E67" s="495" t="str">
        <f>LCR!E280</f>
        <v>Pass</v>
      </c>
      <c r="F67" s="549"/>
      <c r="G67" s="551"/>
      <c r="H67" s="29"/>
      <c r="I67" s="29"/>
      <c r="J67" s="29"/>
      <c r="K67" s="29"/>
      <c r="L67" s="29"/>
      <c r="M67" s="29"/>
      <c r="N67" s="30"/>
    </row>
    <row r="68" spans="1:14" ht="15" customHeight="1" x14ac:dyDescent="0.2">
      <c r="A68" s="282"/>
      <c r="B68" s="499" t="s">
        <v>164</v>
      </c>
      <c r="C68" s="473" t="str">
        <f>LCR!B283</f>
        <v>Check: row 282 ≤ row 281</v>
      </c>
      <c r="D68" s="495" t="str">
        <f>LCR!D283</f>
        <v>Pass</v>
      </c>
      <c r="E68" s="495" t="str">
        <f>LCR!E283</f>
        <v>Pass</v>
      </c>
      <c r="F68" s="549"/>
      <c r="G68" s="551"/>
      <c r="H68" s="29"/>
      <c r="I68" s="29"/>
      <c r="J68" s="29"/>
      <c r="K68" s="29"/>
      <c r="L68" s="29"/>
      <c r="M68" s="29"/>
      <c r="N68" s="30"/>
    </row>
    <row r="69" spans="1:14" ht="15" customHeight="1" x14ac:dyDescent="0.2">
      <c r="A69" s="282"/>
      <c r="B69" s="499" t="s">
        <v>164</v>
      </c>
      <c r="C69" s="473" t="str">
        <f>LCR!B286</f>
        <v>Check: row 285 ≤ row 284</v>
      </c>
      <c r="D69" s="495" t="str">
        <f>LCR!D286</f>
        <v>Pass</v>
      </c>
      <c r="E69" s="495" t="str">
        <f>LCR!E286</f>
        <v>Pass</v>
      </c>
      <c r="F69" s="549"/>
      <c r="G69" s="551"/>
      <c r="H69" s="29"/>
      <c r="I69" s="29"/>
      <c r="J69" s="29"/>
      <c r="K69" s="29"/>
      <c r="L69" s="29"/>
      <c r="M69" s="29"/>
      <c r="N69" s="30"/>
    </row>
    <row r="70" spans="1:14" ht="15" customHeight="1" x14ac:dyDescent="0.2">
      <c r="A70" s="282"/>
      <c r="B70" s="499" t="s">
        <v>165</v>
      </c>
      <c r="C70" s="473" t="str">
        <f>LCR!B333</f>
        <v>Check: row 332 ≤ row 331</v>
      </c>
      <c r="D70" s="495" t="str">
        <f>LCR!D333</f>
        <v>Pass</v>
      </c>
      <c r="E70" s="495" t="str">
        <f>LCR!E333</f>
        <v>Pass</v>
      </c>
      <c r="F70" s="549"/>
      <c r="G70" s="551"/>
      <c r="H70" s="29"/>
      <c r="I70" s="29"/>
      <c r="J70" s="29"/>
      <c r="K70" s="29"/>
      <c r="L70" s="29"/>
      <c r="M70" s="29"/>
      <c r="N70" s="30"/>
    </row>
    <row r="71" spans="1:14" ht="15" customHeight="1" x14ac:dyDescent="0.2">
      <c r="A71" s="282"/>
      <c r="B71" s="499" t="s">
        <v>165</v>
      </c>
      <c r="C71" s="473" t="str">
        <f>LCR!B336</f>
        <v>Check: row 335 ≤ row 334</v>
      </c>
      <c r="D71" s="495" t="str">
        <f>LCR!D336</f>
        <v>Pass</v>
      </c>
      <c r="E71" s="495" t="str">
        <f>LCR!E336</f>
        <v>Pass</v>
      </c>
      <c r="F71" s="549"/>
      <c r="G71" s="551"/>
      <c r="H71" s="29"/>
      <c r="I71" s="29"/>
      <c r="J71" s="29"/>
      <c r="K71" s="29"/>
      <c r="L71" s="29"/>
      <c r="M71" s="29"/>
      <c r="N71" s="30"/>
    </row>
    <row r="72" spans="1:14" ht="15" customHeight="1" x14ac:dyDescent="0.2">
      <c r="A72" s="282"/>
      <c r="B72" s="499" t="s">
        <v>165</v>
      </c>
      <c r="C72" s="473" t="str">
        <f>LCR!B339</f>
        <v>Check: row 338 ≤ row 337</v>
      </c>
      <c r="D72" s="495" t="str">
        <f>LCR!D339</f>
        <v>Pass</v>
      </c>
      <c r="E72" s="495" t="str">
        <f>LCR!E339</f>
        <v>Pass</v>
      </c>
      <c r="F72" s="549"/>
      <c r="G72" s="551"/>
      <c r="H72" s="29"/>
      <c r="I72" s="29"/>
      <c r="J72" s="29"/>
      <c r="K72" s="29"/>
      <c r="L72" s="29"/>
      <c r="M72" s="29"/>
      <c r="N72" s="30"/>
    </row>
    <row r="73" spans="1:14" ht="15" customHeight="1" x14ac:dyDescent="0.2">
      <c r="A73" s="282"/>
      <c r="B73" s="499" t="s">
        <v>165</v>
      </c>
      <c r="C73" s="473" t="str">
        <f>LCR!B342</f>
        <v>Check: row 341 ≤ row 340</v>
      </c>
      <c r="D73" s="495" t="str">
        <f>LCR!D342</f>
        <v>Pass</v>
      </c>
      <c r="E73" s="495" t="str">
        <f>LCR!E342</f>
        <v>Pass</v>
      </c>
      <c r="F73" s="549"/>
      <c r="G73" s="551"/>
      <c r="H73" s="29"/>
      <c r="I73" s="29"/>
      <c r="J73" s="29"/>
      <c r="K73" s="29"/>
      <c r="L73" s="29"/>
      <c r="M73" s="29"/>
      <c r="N73" s="30"/>
    </row>
    <row r="74" spans="1:14" ht="15" customHeight="1" x14ac:dyDescent="0.2">
      <c r="A74" s="282"/>
      <c r="B74" s="499" t="s">
        <v>165</v>
      </c>
      <c r="C74" s="473" t="str">
        <f>LCR!B345</f>
        <v>Check: row 344 ≤ row 343</v>
      </c>
      <c r="D74" s="495" t="str">
        <f>LCR!D345</f>
        <v>Pass</v>
      </c>
      <c r="E74" s="495" t="str">
        <f>LCR!E345</f>
        <v>Pass</v>
      </c>
      <c r="F74" s="549"/>
      <c r="G74" s="551"/>
      <c r="H74" s="29"/>
      <c r="I74" s="29"/>
      <c r="J74" s="29"/>
      <c r="K74" s="29"/>
      <c r="L74" s="29"/>
      <c r="M74" s="29"/>
      <c r="N74" s="30"/>
    </row>
    <row r="75" spans="1:14" ht="15" customHeight="1" x14ac:dyDescent="0.2">
      <c r="A75" s="282"/>
      <c r="B75" s="499" t="s">
        <v>165</v>
      </c>
      <c r="C75" s="473" t="str">
        <f>LCR!B348</f>
        <v>Check: row 347 ≤ row 346</v>
      </c>
      <c r="D75" s="495" t="str">
        <f>LCR!D348</f>
        <v>Pass</v>
      </c>
      <c r="E75" s="495" t="str">
        <f>LCR!E348</f>
        <v>Pass</v>
      </c>
      <c r="F75" s="549"/>
      <c r="G75" s="551"/>
      <c r="H75" s="29"/>
      <c r="I75" s="29"/>
      <c r="J75" s="29"/>
      <c r="K75" s="29"/>
      <c r="L75" s="29"/>
      <c r="M75" s="29"/>
      <c r="N75" s="30"/>
    </row>
    <row r="76" spans="1:14" ht="15" customHeight="1" x14ac:dyDescent="0.2">
      <c r="A76" s="282"/>
      <c r="B76" s="499" t="s">
        <v>165</v>
      </c>
      <c r="C76" s="473" t="str">
        <f>LCR!B351</f>
        <v>Check: row 350 ≤ row 349</v>
      </c>
      <c r="D76" s="495" t="str">
        <f>LCR!D351</f>
        <v>Pass</v>
      </c>
      <c r="E76" s="495" t="str">
        <f>LCR!E351</f>
        <v>Pass</v>
      </c>
      <c r="F76" s="549"/>
      <c r="G76" s="551"/>
      <c r="H76" s="29"/>
      <c r="I76" s="29"/>
      <c r="J76" s="29"/>
      <c r="K76" s="29"/>
      <c r="L76" s="29"/>
      <c r="M76" s="29"/>
      <c r="N76" s="30"/>
    </row>
    <row r="77" spans="1:14" ht="15" customHeight="1" x14ac:dyDescent="0.2">
      <c r="A77" s="282"/>
      <c r="B77" s="499" t="s">
        <v>165</v>
      </c>
      <c r="C77" s="473" t="str">
        <f>LCR!B354</f>
        <v>Check: row 353 ≤ row 352</v>
      </c>
      <c r="D77" s="495" t="str">
        <f>LCR!D354</f>
        <v>Pass</v>
      </c>
      <c r="E77" s="495" t="str">
        <f>LCR!E354</f>
        <v>Pass</v>
      </c>
      <c r="F77" s="549"/>
      <c r="G77" s="551"/>
      <c r="H77" s="29"/>
      <c r="I77" s="29"/>
      <c r="J77" s="29"/>
      <c r="K77" s="29"/>
      <c r="L77" s="29"/>
      <c r="M77" s="29"/>
      <c r="N77" s="30"/>
    </row>
    <row r="78" spans="1:14" ht="15" customHeight="1" x14ac:dyDescent="0.2">
      <c r="A78" s="282"/>
      <c r="B78" s="499" t="s">
        <v>165</v>
      </c>
      <c r="C78" s="473" t="str">
        <f>LCR!B357</f>
        <v>Check: row 356 ≤ row 355</v>
      </c>
      <c r="D78" s="495" t="str">
        <f>LCR!D357</f>
        <v>Pass</v>
      </c>
      <c r="E78" s="495" t="str">
        <f>LCR!E357</f>
        <v>Pass</v>
      </c>
      <c r="F78" s="549"/>
      <c r="G78" s="551"/>
      <c r="H78" s="29"/>
      <c r="I78" s="29"/>
      <c r="J78" s="29"/>
      <c r="K78" s="29"/>
      <c r="L78" s="29"/>
      <c r="M78" s="29"/>
      <c r="N78" s="30"/>
    </row>
    <row r="79" spans="1:14" ht="15" customHeight="1" x14ac:dyDescent="0.2">
      <c r="A79" s="282"/>
      <c r="B79" s="499" t="s">
        <v>165</v>
      </c>
      <c r="C79" s="473" t="str">
        <f>LCR!B360</f>
        <v>Check: row 359 ≤ row 358</v>
      </c>
      <c r="D79" s="495" t="str">
        <f>LCR!D360</f>
        <v>Pass</v>
      </c>
      <c r="E79" s="495" t="str">
        <f>LCR!E360</f>
        <v>Pass</v>
      </c>
      <c r="F79" s="549"/>
      <c r="G79" s="551"/>
      <c r="H79" s="29"/>
      <c r="I79" s="29"/>
      <c r="J79" s="29"/>
      <c r="K79" s="29"/>
      <c r="L79" s="29"/>
      <c r="M79" s="29"/>
      <c r="N79" s="30"/>
    </row>
    <row r="80" spans="1:14" ht="15" customHeight="1" x14ac:dyDescent="0.2">
      <c r="A80" s="282"/>
      <c r="B80" s="499" t="s">
        <v>165</v>
      </c>
      <c r="C80" s="473" t="str">
        <f>LCR!B363</f>
        <v>Check: row 362 ≤ row 361</v>
      </c>
      <c r="D80" s="495" t="str">
        <f>LCR!D363</f>
        <v>Pass</v>
      </c>
      <c r="E80" s="495" t="str">
        <f>LCR!E363</f>
        <v>Pass</v>
      </c>
      <c r="F80" s="549"/>
      <c r="G80" s="551"/>
      <c r="H80" s="29"/>
      <c r="I80" s="29"/>
      <c r="J80" s="29"/>
      <c r="K80" s="29"/>
      <c r="L80" s="29"/>
      <c r="M80" s="29"/>
      <c r="N80" s="30"/>
    </row>
    <row r="81" spans="1:14" ht="15" customHeight="1" x14ac:dyDescent="0.2">
      <c r="A81" s="282"/>
      <c r="B81" s="499" t="s">
        <v>165</v>
      </c>
      <c r="C81" s="473" t="str">
        <f>LCR!B366</f>
        <v>Check: row 365 ≤ row 364</v>
      </c>
      <c r="D81" s="495" t="str">
        <f>LCR!D366</f>
        <v>Pass</v>
      </c>
      <c r="E81" s="495" t="str">
        <f>LCR!E366</f>
        <v>Pass</v>
      </c>
      <c r="F81" s="549"/>
      <c r="G81" s="551"/>
      <c r="H81" s="29"/>
      <c r="I81" s="29"/>
      <c r="J81" s="29"/>
      <c r="K81" s="29"/>
      <c r="L81" s="29"/>
      <c r="M81" s="29"/>
      <c r="N81" s="30"/>
    </row>
    <row r="82" spans="1:14" ht="15" customHeight="1" x14ac:dyDescent="0.2">
      <c r="A82" s="282"/>
      <c r="B82" s="499" t="s">
        <v>165</v>
      </c>
      <c r="C82" s="473" t="str">
        <f>LCR!B369</f>
        <v>Check: row 368 ≤ row 367</v>
      </c>
      <c r="D82" s="495" t="str">
        <f>LCR!D369</f>
        <v>Pass</v>
      </c>
      <c r="E82" s="495" t="str">
        <f>LCR!E369</f>
        <v>Pass</v>
      </c>
      <c r="F82" s="549"/>
      <c r="G82" s="551"/>
      <c r="H82" s="29"/>
      <c r="I82" s="29"/>
      <c r="J82" s="29"/>
      <c r="K82" s="29"/>
      <c r="L82" s="29"/>
      <c r="M82" s="29"/>
      <c r="N82" s="30"/>
    </row>
    <row r="83" spans="1:14" ht="15" customHeight="1" x14ac:dyDescent="0.2">
      <c r="A83" s="282"/>
      <c r="B83" s="499" t="s">
        <v>165</v>
      </c>
      <c r="C83" s="473" t="str">
        <f>LCR!B372</f>
        <v>Check: row 371 ≤ row 370</v>
      </c>
      <c r="D83" s="495" t="str">
        <f>LCR!D372</f>
        <v>Pass</v>
      </c>
      <c r="E83" s="495" t="str">
        <f>LCR!E372</f>
        <v>Pass</v>
      </c>
      <c r="F83" s="549"/>
      <c r="G83" s="551"/>
      <c r="H83" s="29"/>
      <c r="I83" s="29"/>
      <c r="J83" s="29"/>
      <c r="K83" s="29"/>
      <c r="L83" s="29"/>
      <c r="M83" s="29"/>
      <c r="N83" s="30"/>
    </row>
    <row r="84" spans="1:14" ht="15" customHeight="1" x14ac:dyDescent="0.2">
      <c r="A84" s="282"/>
      <c r="B84" s="499" t="s">
        <v>165</v>
      </c>
      <c r="C84" s="473" t="str">
        <f>LCR!B375</f>
        <v>Check: row 374 ≤ row 373</v>
      </c>
      <c r="D84" s="495" t="str">
        <f>LCR!D375</f>
        <v>Pass</v>
      </c>
      <c r="E84" s="495" t="str">
        <f>LCR!E375</f>
        <v>Pass</v>
      </c>
      <c r="F84" s="549"/>
      <c r="G84" s="551"/>
      <c r="H84" s="29"/>
      <c r="I84" s="29"/>
      <c r="J84" s="29"/>
      <c r="K84" s="29"/>
      <c r="L84" s="29"/>
      <c r="M84" s="29"/>
      <c r="N84" s="30"/>
    </row>
    <row r="85" spans="1:14" ht="15" customHeight="1" x14ac:dyDescent="0.2">
      <c r="A85" s="282"/>
      <c r="B85" s="499" t="s">
        <v>165</v>
      </c>
      <c r="C85" s="473" t="str">
        <f>LCR!B378</f>
        <v>Check: row 377 ≤ row 376</v>
      </c>
      <c r="D85" s="495" t="str">
        <f>LCR!D378</f>
        <v>Pass</v>
      </c>
      <c r="E85" s="495" t="str">
        <f>LCR!E378</f>
        <v>Pass</v>
      </c>
      <c r="F85" s="549"/>
      <c r="G85" s="551"/>
      <c r="H85" s="29"/>
      <c r="I85" s="29"/>
      <c r="J85" s="29"/>
      <c r="K85" s="29"/>
      <c r="L85" s="29"/>
      <c r="M85" s="29"/>
      <c r="N85" s="30"/>
    </row>
    <row r="86" spans="1:14" ht="15" customHeight="1" x14ac:dyDescent="0.2">
      <c r="A86" s="282"/>
      <c r="B86" s="499" t="s">
        <v>165</v>
      </c>
      <c r="C86" s="473" t="str">
        <f>LCR!B381</f>
        <v>Check: row 380 ≤ row 379</v>
      </c>
      <c r="D86" s="495" t="str">
        <f>LCR!D381</f>
        <v>Pass</v>
      </c>
      <c r="E86" s="495" t="str">
        <f>LCR!E381</f>
        <v>Pass</v>
      </c>
      <c r="F86" s="549"/>
      <c r="G86" s="551"/>
      <c r="H86" s="29"/>
      <c r="I86" s="29"/>
      <c r="J86" s="29"/>
      <c r="K86" s="29"/>
      <c r="L86" s="29"/>
      <c r="M86" s="29"/>
      <c r="N86" s="30"/>
    </row>
    <row r="87" spans="1:14" ht="15" customHeight="1" x14ac:dyDescent="0.2">
      <c r="A87" s="282"/>
      <c r="B87" s="499" t="s">
        <v>165</v>
      </c>
      <c r="C87" s="473" t="str">
        <f>LCR!B384</f>
        <v>Check: row 383 ≤ row 382</v>
      </c>
      <c r="D87" s="495" t="str">
        <f>LCR!D384</f>
        <v>Pass</v>
      </c>
      <c r="E87" s="495" t="str">
        <f>LCR!E384</f>
        <v>Pass</v>
      </c>
      <c r="F87" s="549"/>
      <c r="G87" s="551"/>
      <c r="H87" s="29"/>
      <c r="I87" s="29"/>
      <c r="J87" s="29"/>
      <c r="K87" s="29"/>
      <c r="L87" s="29"/>
      <c r="M87" s="29"/>
      <c r="N87" s="30"/>
    </row>
    <row r="88" spans="1:14" ht="15" customHeight="1" x14ac:dyDescent="0.2">
      <c r="A88" s="282"/>
      <c r="B88" s="499" t="s">
        <v>165</v>
      </c>
      <c r="C88" s="473" t="str">
        <f>LCR!B387</f>
        <v>Check: row 386 ≤ row 385</v>
      </c>
      <c r="D88" s="495" t="str">
        <f>LCR!D387</f>
        <v>Pass</v>
      </c>
      <c r="E88" s="495" t="str">
        <f>LCR!E387</f>
        <v>Pass</v>
      </c>
      <c r="F88" s="549"/>
      <c r="G88" s="551"/>
      <c r="H88" s="29"/>
      <c r="I88" s="29"/>
      <c r="J88" s="29"/>
      <c r="K88" s="29"/>
      <c r="L88" s="29"/>
      <c r="M88" s="29"/>
      <c r="N88" s="30"/>
    </row>
    <row r="89" spans="1:14" ht="15" customHeight="1" x14ac:dyDescent="0.2">
      <c r="A89" s="282"/>
      <c r="B89" s="499" t="s">
        <v>165</v>
      </c>
      <c r="C89" s="473" t="str">
        <f>LCR!B390</f>
        <v>Check: row 389 ≤ row 388</v>
      </c>
      <c r="D89" s="495" t="str">
        <f>LCR!D390</f>
        <v>Pass</v>
      </c>
      <c r="E89" s="495" t="str">
        <f>LCR!E390</f>
        <v>Pass</v>
      </c>
      <c r="F89" s="549"/>
      <c r="G89" s="551"/>
      <c r="H89" s="29"/>
      <c r="I89" s="29"/>
      <c r="J89" s="29"/>
      <c r="K89" s="29"/>
      <c r="L89" s="29"/>
      <c r="M89" s="29"/>
      <c r="N89" s="30"/>
    </row>
    <row r="90" spans="1:14" ht="15" customHeight="1" x14ac:dyDescent="0.2">
      <c r="A90" s="282"/>
      <c r="B90" s="499" t="s">
        <v>165</v>
      </c>
      <c r="C90" s="473" t="str">
        <f>LCR!B393</f>
        <v>Check: row 392 ≤ row 391</v>
      </c>
      <c r="D90" s="495" t="str">
        <f>LCR!D393</f>
        <v>Pass</v>
      </c>
      <c r="E90" s="495" t="str">
        <f>LCR!E393</f>
        <v>Pass</v>
      </c>
      <c r="F90" s="549"/>
      <c r="G90" s="551"/>
      <c r="H90" s="29"/>
      <c r="I90" s="29"/>
      <c r="J90" s="29"/>
      <c r="K90" s="29"/>
      <c r="L90" s="29"/>
      <c r="M90" s="29"/>
      <c r="N90" s="30"/>
    </row>
    <row r="91" spans="1:14" ht="15" customHeight="1" x14ac:dyDescent="0.2">
      <c r="A91" s="282"/>
      <c r="B91" s="499" t="s">
        <v>165</v>
      </c>
      <c r="C91" s="473" t="str">
        <f>LCR!B396</f>
        <v>Check: row 395 ≤ row 394</v>
      </c>
      <c r="D91" s="495" t="str">
        <f>LCR!D396</f>
        <v>Pass</v>
      </c>
      <c r="E91" s="495" t="str">
        <f>LCR!E396</f>
        <v>Pass</v>
      </c>
      <c r="F91" s="549"/>
      <c r="G91" s="551"/>
      <c r="H91" s="29"/>
      <c r="I91" s="29"/>
      <c r="J91" s="29"/>
      <c r="K91" s="29"/>
      <c r="L91" s="29"/>
      <c r="M91" s="29"/>
      <c r="N91" s="30"/>
    </row>
    <row r="92" spans="1:14" ht="15" customHeight="1" x14ac:dyDescent="0.2">
      <c r="A92" s="282"/>
      <c r="B92" s="499" t="s">
        <v>165</v>
      </c>
      <c r="C92" s="473" t="str">
        <f>LCR!B399</f>
        <v>Check: row 398 ≤ row 397</v>
      </c>
      <c r="D92" s="495" t="str">
        <f>LCR!D399</f>
        <v>Pass</v>
      </c>
      <c r="E92" s="495" t="str">
        <f>LCR!E399</f>
        <v>Pass</v>
      </c>
      <c r="F92" s="549"/>
      <c r="G92" s="551"/>
      <c r="H92" s="29"/>
      <c r="I92" s="29"/>
      <c r="J92" s="29"/>
      <c r="K92" s="29"/>
      <c r="L92" s="29"/>
      <c r="M92" s="29"/>
      <c r="N92" s="30"/>
    </row>
    <row r="93" spans="1:14" ht="15" customHeight="1" x14ac:dyDescent="0.2">
      <c r="A93" s="282"/>
      <c r="B93" s="499" t="s">
        <v>165</v>
      </c>
      <c r="C93" s="473" t="str">
        <f>LCR!B402</f>
        <v>Check: row 401 ≤ row 400</v>
      </c>
      <c r="D93" s="495" t="str">
        <f>LCR!D402</f>
        <v>Pass</v>
      </c>
      <c r="E93" s="495" t="str">
        <f>LCR!E402</f>
        <v>Pass</v>
      </c>
      <c r="F93" s="554"/>
      <c r="G93" s="553"/>
      <c r="H93" s="29"/>
      <c r="I93" s="29"/>
      <c r="J93" s="29"/>
      <c r="K93" s="29"/>
      <c r="L93" s="29"/>
      <c r="M93" s="29"/>
      <c r="N93" s="30"/>
    </row>
    <row r="94" spans="1:14" ht="15" customHeight="1" x14ac:dyDescent="0.2">
      <c r="A94" s="57"/>
      <c r="B94" s="50"/>
      <c r="C94" s="74"/>
      <c r="D94" s="50"/>
      <c r="E94" s="50"/>
      <c r="F94" s="50"/>
      <c r="G94" s="50"/>
      <c r="H94" s="50"/>
      <c r="I94" s="50"/>
      <c r="J94" s="50"/>
      <c r="K94" s="50"/>
      <c r="L94" s="55"/>
      <c r="M94" s="55"/>
      <c r="N94" s="56"/>
    </row>
    <row r="95" spans="1:14" s="35" customFormat="1" ht="30" customHeight="1" x14ac:dyDescent="0.25">
      <c r="A95" s="52" t="s">
        <v>665</v>
      </c>
      <c r="B95" s="49"/>
      <c r="C95" s="73"/>
      <c r="D95" s="49"/>
      <c r="E95" s="49"/>
      <c r="F95" s="49"/>
      <c r="G95" s="49"/>
      <c r="H95" s="49"/>
      <c r="I95" s="49"/>
      <c r="J95" s="49"/>
      <c r="K95" s="49"/>
      <c r="L95" s="49"/>
      <c r="M95" s="49"/>
      <c r="N95" s="59"/>
    </row>
    <row r="96" spans="1:14" ht="15" customHeight="1" x14ac:dyDescent="0.2">
      <c r="A96" s="57"/>
      <c r="B96" s="50"/>
      <c r="C96" s="74"/>
      <c r="D96" s="50"/>
      <c r="E96" s="50"/>
      <c r="F96" s="50"/>
      <c r="G96" s="50"/>
      <c r="H96" s="50"/>
      <c r="I96" s="50"/>
      <c r="J96" s="50"/>
      <c r="K96" s="50"/>
      <c r="L96" s="50"/>
      <c r="M96" s="50"/>
      <c r="N96" s="54"/>
    </row>
    <row r="97" spans="1:14" ht="45" customHeight="1" x14ac:dyDescent="0.2">
      <c r="A97" s="57"/>
      <c r="B97" s="412" t="s">
        <v>83</v>
      </c>
      <c r="C97" s="147" t="s">
        <v>84</v>
      </c>
      <c r="D97" s="475" t="s">
        <v>155</v>
      </c>
      <c r="E97" s="475" t="s">
        <v>729</v>
      </c>
      <c r="F97" s="475" t="s">
        <v>730</v>
      </c>
      <c r="G97" s="475" t="s">
        <v>731</v>
      </c>
      <c r="H97" s="475" t="s">
        <v>732</v>
      </c>
      <c r="J97" s="50"/>
      <c r="K97" s="50"/>
      <c r="L97" s="50"/>
      <c r="M97" s="50"/>
      <c r="N97" s="54"/>
    </row>
    <row r="98" spans="1:14" ht="15" customHeight="1" x14ac:dyDescent="0.2">
      <c r="A98" s="57"/>
      <c r="B98" s="20" t="s">
        <v>602</v>
      </c>
      <c r="C98" s="650" t="str">
        <f>NSFR!B7</f>
        <v>Check: row 6 = D51 + D52 in the General Info worksheet</v>
      </c>
      <c r="D98" s="556"/>
      <c r="E98" s="547"/>
      <c r="F98" s="547"/>
      <c r="G98" s="548"/>
      <c r="H98" s="495" t="str">
        <f>NSFR!G7</f>
        <v>Pass</v>
      </c>
      <c r="J98" s="50"/>
      <c r="K98" s="50"/>
      <c r="L98" s="50"/>
      <c r="M98" s="50"/>
      <c r="N98" s="54"/>
    </row>
    <row r="99" spans="1:14" ht="15" customHeight="1" x14ac:dyDescent="0.2">
      <c r="A99" s="57"/>
      <c r="B99" s="20" t="s">
        <v>602</v>
      </c>
      <c r="C99" s="650" t="str">
        <f>NSFR!B10</f>
        <v>Check: row 9 ≥ LCR stable retail and small business customer deposits</v>
      </c>
      <c r="D99" s="495" t="str">
        <f>NSFR!C10</f>
        <v>Pass</v>
      </c>
      <c r="E99" s="550"/>
      <c r="F99" s="550"/>
      <c r="G99" s="550"/>
      <c r="H99" s="548"/>
      <c r="J99" s="50"/>
      <c r="K99" s="50"/>
      <c r="L99" s="50"/>
      <c r="M99" s="50"/>
      <c r="N99" s="54"/>
    </row>
    <row r="100" spans="1:14" ht="15" customHeight="1" x14ac:dyDescent="0.2">
      <c r="A100" s="57"/>
      <c r="B100" s="20" t="s">
        <v>602</v>
      </c>
      <c r="C100" s="650" t="str">
        <f>NSFR!B12</f>
        <v>Check: row 11 ≥ LCR less stable retail and small business customer deposits</v>
      </c>
      <c r="D100" s="495" t="str">
        <f>NSFR!C12</f>
        <v>Pass</v>
      </c>
      <c r="E100" s="550"/>
      <c r="F100" s="550"/>
      <c r="G100" s="550"/>
      <c r="H100" s="551"/>
      <c r="J100" s="50"/>
      <c r="K100" s="50"/>
      <c r="L100" s="50"/>
      <c r="M100" s="50"/>
      <c r="N100" s="54"/>
    </row>
    <row r="101" spans="1:14" ht="15" customHeight="1" x14ac:dyDescent="0.2">
      <c r="A101" s="57"/>
      <c r="B101" s="20" t="s">
        <v>602</v>
      </c>
      <c r="C101" s="650" t="str">
        <f>NSFR!B14</f>
        <v>Check: row 13 ≥ LCR unsecured debt issued</v>
      </c>
      <c r="D101" s="495" t="str">
        <f>NSFR!C14</f>
        <v>Pass</v>
      </c>
      <c r="E101" s="550"/>
      <c r="F101" s="550"/>
      <c r="G101" s="550"/>
      <c r="H101" s="551"/>
      <c r="J101" s="50"/>
      <c r="K101" s="50"/>
      <c r="L101" s="50"/>
      <c r="M101" s="50"/>
      <c r="N101" s="54"/>
    </row>
    <row r="102" spans="1:14" ht="15" customHeight="1" x14ac:dyDescent="0.2">
      <c r="A102" s="57"/>
      <c r="B102" s="20" t="s">
        <v>602</v>
      </c>
      <c r="C102" s="650" t="str">
        <f>NSFR!B17</f>
        <v>Check: row 15 ≥ LCR unsecured funding from non-financial corporates</v>
      </c>
      <c r="D102" s="495" t="str">
        <f>NSFR!C17</f>
        <v>Pass</v>
      </c>
      <c r="E102" s="550"/>
      <c r="F102" s="550"/>
      <c r="G102" s="550"/>
      <c r="H102" s="551"/>
      <c r="J102" s="50"/>
      <c r="K102" s="50"/>
      <c r="L102" s="50"/>
      <c r="M102" s="50"/>
      <c r="N102" s="54"/>
    </row>
    <row r="103" spans="1:14" ht="15" customHeight="1" x14ac:dyDescent="0.2">
      <c r="A103" s="57"/>
      <c r="B103" s="20" t="s">
        <v>602</v>
      </c>
      <c r="C103" s="650" t="str">
        <f>NSFR!B18</f>
        <v>Check: row 16 ≥ LCR operational deposits from non-financial corporates</v>
      </c>
      <c r="D103" s="495" t="str">
        <f>NSFR!C18</f>
        <v>Pass</v>
      </c>
      <c r="E103" s="552"/>
      <c r="F103" s="552"/>
      <c r="G103" s="552"/>
      <c r="H103" s="553"/>
      <c r="J103" s="50"/>
      <c r="K103" s="50"/>
      <c r="L103" s="50"/>
      <c r="M103" s="50"/>
      <c r="N103" s="54"/>
    </row>
    <row r="104" spans="1:14" ht="15" customHeight="1" x14ac:dyDescent="0.2">
      <c r="A104" s="57"/>
      <c r="B104" s="20" t="s">
        <v>602</v>
      </c>
      <c r="C104" s="650" t="str">
        <f>NSFR!B19</f>
        <v>Check: row 16 ≤ row 15 for each column</v>
      </c>
      <c r="D104" s="495" t="str">
        <f>NSFR!C19</f>
        <v>Pass</v>
      </c>
      <c r="E104" s="495" t="str">
        <f>NSFR!D19</f>
        <v>Pass</v>
      </c>
      <c r="F104" s="495" t="str">
        <f>NSFR!E19</f>
        <v>Pass</v>
      </c>
      <c r="G104" s="495" t="str">
        <f>NSFR!F19</f>
        <v>Pass</v>
      </c>
      <c r="H104" s="495" t="str">
        <f>NSFR!G19</f>
        <v>Pass</v>
      </c>
      <c r="J104" s="50"/>
      <c r="K104" s="50"/>
      <c r="L104" s="50"/>
      <c r="M104" s="50"/>
      <c r="N104" s="54"/>
    </row>
    <row r="105" spans="1:14" ht="15" customHeight="1" x14ac:dyDescent="0.2">
      <c r="A105" s="57"/>
      <c r="B105" s="20" t="s">
        <v>602</v>
      </c>
      <c r="C105" s="650" t="str">
        <f>NSFR!B22</f>
        <v>Check: row 20 ≥ LCR unsecured funding from sovereigns/central banks/PSEs/MDBs</v>
      </c>
      <c r="D105" s="495" t="str">
        <f>NSFR!C22</f>
        <v>Pass</v>
      </c>
      <c r="E105" s="550"/>
      <c r="F105" s="550"/>
      <c r="G105" s="550"/>
      <c r="H105" s="551"/>
      <c r="J105" s="50"/>
      <c r="K105" s="50"/>
      <c r="L105" s="50"/>
      <c r="M105" s="50"/>
      <c r="N105" s="54"/>
    </row>
    <row r="106" spans="1:14" ht="15" customHeight="1" x14ac:dyDescent="0.2">
      <c r="A106" s="57"/>
      <c r="B106" s="20" t="s">
        <v>602</v>
      </c>
      <c r="C106" s="650" t="str">
        <f>NSFR!B23</f>
        <v>Check: row 21 ≥ LCR operational deposits from sovereigns/central banks/PSEs/MDBs</v>
      </c>
      <c r="D106" s="495" t="str">
        <f>NSFR!C23</f>
        <v>Pass</v>
      </c>
      <c r="E106" s="550"/>
      <c r="F106" s="550"/>
      <c r="G106" s="550"/>
      <c r="H106" s="551"/>
      <c r="J106" s="50"/>
      <c r="K106" s="50"/>
      <c r="L106" s="50"/>
      <c r="M106" s="50"/>
      <c r="N106" s="54"/>
    </row>
    <row r="107" spans="1:14" ht="15" customHeight="1" x14ac:dyDescent="0.2">
      <c r="A107" s="57"/>
      <c r="B107" s="20" t="s">
        <v>602</v>
      </c>
      <c r="C107" s="650" t="str">
        <f>NSFR!B24</f>
        <v>Check: row 21 ≤ row 20 for each column</v>
      </c>
      <c r="D107" s="495" t="str">
        <f>NSFR!C24</f>
        <v>Pass</v>
      </c>
      <c r="E107" s="495" t="str">
        <f>NSFR!D24</f>
        <v>Pass</v>
      </c>
      <c r="F107" s="495" t="str">
        <f>NSFR!E24</f>
        <v>Pass</v>
      </c>
      <c r="G107" s="495" t="str">
        <f>NSFR!F24</f>
        <v>Pass</v>
      </c>
      <c r="H107" s="495" t="str">
        <f>NSFR!G24</f>
        <v>Pass</v>
      </c>
      <c r="J107" s="50"/>
      <c r="K107" s="50"/>
      <c r="L107" s="50"/>
      <c r="M107" s="50"/>
      <c r="N107" s="54"/>
    </row>
    <row r="108" spans="1:14" ht="15" customHeight="1" x14ac:dyDescent="0.2">
      <c r="A108" s="57"/>
      <c r="B108" s="20" t="s">
        <v>602</v>
      </c>
      <c r="C108" s="650" t="str">
        <f>NSFR!B27</f>
        <v>Check: row 25 ≥ LCR unsecured funding from other legal entities</v>
      </c>
      <c r="D108" s="495" t="str">
        <f>NSFR!C27</f>
        <v>Pass</v>
      </c>
      <c r="E108" s="550"/>
      <c r="F108" s="550"/>
      <c r="G108" s="550"/>
      <c r="H108" s="551"/>
      <c r="J108" s="50"/>
      <c r="K108" s="50"/>
      <c r="L108" s="50"/>
      <c r="M108" s="50"/>
      <c r="N108" s="54"/>
    </row>
    <row r="109" spans="1:14" ht="15" customHeight="1" x14ac:dyDescent="0.2">
      <c r="A109" s="57"/>
      <c r="B109" s="20" t="s">
        <v>602</v>
      </c>
      <c r="C109" s="650" t="str">
        <f>NSFR!B28</f>
        <v>Check: row 26 ≥ LCR operational deposits from other legal entities</v>
      </c>
      <c r="D109" s="495" t="str">
        <f>NSFR!C28</f>
        <v>Pass</v>
      </c>
      <c r="E109" s="550"/>
      <c r="F109" s="550"/>
      <c r="G109" s="550"/>
      <c r="H109" s="551"/>
      <c r="J109" s="50"/>
      <c r="K109" s="50"/>
      <c r="L109" s="50"/>
      <c r="M109" s="50"/>
      <c r="N109" s="54"/>
    </row>
    <row r="110" spans="1:14" ht="15" customHeight="1" x14ac:dyDescent="0.2">
      <c r="A110" s="57"/>
      <c r="B110" s="20" t="s">
        <v>602</v>
      </c>
      <c r="C110" s="650" t="str">
        <f>NSFR!B29</f>
        <v>Check: row 26 ≤ row 25 for each column</v>
      </c>
      <c r="D110" s="495" t="str">
        <f>NSFR!C29</f>
        <v>Pass</v>
      </c>
      <c r="E110" s="495" t="str">
        <f>NSFR!D29</f>
        <v>Pass</v>
      </c>
      <c r="F110" s="495" t="str">
        <f>NSFR!E29</f>
        <v>Pass</v>
      </c>
      <c r="G110" s="495" t="str">
        <f>NSFR!F29</f>
        <v>Pass</v>
      </c>
      <c r="H110" s="495" t="str">
        <f>NSFR!G29</f>
        <v>Pass</v>
      </c>
      <c r="J110" s="50"/>
      <c r="K110" s="50"/>
      <c r="L110" s="50"/>
      <c r="M110" s="50"/>
      <c r="N110" s="54"/>
    </row>
    <row r="111" spans="1:14" ht="30" customHeight="1" x14ac:dyDescent="0.2">
      <c r="A111" s="57"/>
      <c r="B111" s="20" t="s">
        <v>602</v>
      </c>
      <c r="C111" s="650" t="str">
        <f>NSFR!B31</f>
        <v>Check: row 30 ≥ LCR unsecured funding from members of the institutional networks of cooperative banks</v>
      </c>
      <c r="D111" s="495" t="str">
        <f>NSFR!C31</f>
        <v>Pass</v>
      </c>
      <c r="E111" s="550"/>
      <c r="F111" s="550"/>
      <c r="G111" s="550"/>
      <c r="H111" s="551"/>
      <c r="J111" s="50"/>
      <c r="K111" s="50"/>
      <c r="L111" s="50"/>
      <c r="M111" s="50"/>
      <c r="N111" s="54"/>
    </row>
    <row r="112" spans="1:14" ht="15" customHeight="1" x14ac:dyDescent="0.2">
      <c r="A112" s="57"/>
      <c r="B112" s="20" t="s">
        <v>576</v>
      </c>
      <c r="C112" s="476" t="str">
        <f>NSFR!B57</f>
        <v>Check: sum of rows 52 to 56 for each column should equal the corresponding column in row 51</v>
      </c>
      <c r="D112" s="495" t="str">
        <f>NSFR!C57</f>
        <v>Pass</v>
      </c>
      <c r="E112" s="495" t="str">
        <f>NSFR!D57</f>
        <v>Pass</v>
      </c>
      <c r="F112" s="495" t="str">
        <f>NSFR!E57</f>
        <v>Pass</v>
      </c>
      <c r="G112" s="495" t="str">
        <f>NSFR!F57</f>
        <v>Pass</v>
      </c>
      <c r="H112" s="545"/>
      <c r="J112" s="50"/>
      <c r="K112" s="50"/>
      <c r="L112" s="50"/>
      <c r="M112" s="50"/>
      <c r="N112" s="54"/>
    </row>
    <row r="113" spans="1:15" ht="30" customHeight="1" x14ac:dyDescent="0.2">
      <c r="A113" s="57"/>
      <c r="B113" s="20" t="s">
        <v>576</v>
      </c>
      <c r="C113" s="476" t="str">
        <f>NSFR!B58</f>
        <v>Check: sum of rows 50 to 51 in the &lt; 3 month column is greater than or equal to total central bank reserves reported in row 7 on the LCR worksheet</v>
      </c>
      <c r="D113" s="495" t="str">
        <f>NSFR!C58</f>
        <v>Pass</v>
      </c>
      <c r="E113" s="556"/>
      <c r="F113" s="557"/>
      <c r="G113" s="557"/>
      <c r="H113" s="551"/>
      <c r="J113" s="50"/>
      <c r="K113" s="50"/>
      <c r="L113" s="50"/>
      <c r="M113" s="50"/>
      <c r="N113" s="54"/>
      <c r="O113" s="732"/>
    </row>
    <row r="114" spans="1:15" ht="15" customHeight="1" x14ac:dyDescent="0.2">
      <c r="A114" s="57"/>
      <c r="B114" s="20" t="s">
        <v>576</v>
      </c>
      <c r="C114" s="476" t="str">
        <f>NSFR!B67</f>
        <v>Check: sum of rows 62 to 66 for each column should equal the corresponding column in row 61</v>
      </c>
      <c r="D114" s="495" t="str">
        <f>NSFR!C67</f>
        <v>Pass</v>
      </c>
      <c r="E114" s="495" t="str">
        <f>NSFR!D67</f>
        <v>Pass</v>
      </c>
      <c r="F114" s="495" t="str">
        <f>NSFR!E67</f>
        <v>Pass</v>
      </c>
      <c r="G114" s="495" t="str">
        <f>NSFR!F67</f>
        <v>Pass</v>
      </c>
      <c r="H114" s="545"/>
      <c r="J114" s="50"/>
      <c r="K114" s="50"/>
      <c r="L114" s="50"/>
      <c r="M114" s="50"/>
      <c r="N114" s="54"/>
    </row>
    <row r="115" spans="1:15" ht="15" customHeight="1" x14ac:dyDescent="0.2">
      <c r="A115" s="57"/>
      <c r="B115" s="20" t="s">
        <v>576</v>
      </c>
      <c r="C115" s="476" t="str">
        <f>NSFR!B76</f>
        <v>Check: sum of rows 71 to 75 for each column should equal the corresponding column in row 70</v>
      </c>
      <c r="D115" s="495" t="str">
        <f>NSFR!C76</f>
        <v>Pass</v>
      </c>
      <c r="E115" s="495" t="str">
        <f>NSFR!D76</f>
        <v>Pass</v>
      </c>
      <c r="F115" s="495" t="str">
        <f>NSFR!E76</f>
        <v>Pass</v>
      </c>
      <c r="G115" s="495" t="str">
        <f>NSFR!F76</f>
        <v>Pass</v>
      </c>
      <c r="H115" s="545"/>
      <c r="J115" s="50"/>
      <c r="K115" s="50"/>
      <c r="L115" s="50"/>
      <c r="M115" s="50"/>
      <c r="N115" s="54"/>
    </row>
    <row r="116" spans="1:15" ht="15" customHeight="1" x14ac:dyDescent="0.2">
      <c r="A116" s="57"/>
      <c r="B116" s="20" t="s">
        <v>576</v>
      </c>
      <c r="C116" s="476" t="str">
        <f>NSFR!B85</f>
        <v>Check: sum of rows 80 to 84 for each column should equal the corresponding column in row 79</v>
      </c>
      <c r="D116" s="495" t="str">
        <f>NSFR!C85</f>
        <v>Pass</v>
      </c>
      <c r="E116" s="495" t="str">
        <f>NSFR!D85</f>
        <v>Pass</v>
      </c>
      <c r="F116" s="495" t="str">
        <f>NSFR!E85</f>
        <v>Pass</v>
      </c>
      <c r="G116" s="495" t="str">
        <f>NSFR!F85</f>
        <v>Pass</v>
      </c>
      <c r="H116" s="478"/>
      <c r="J116" s="50"/>
      <c r="K116" s="50"/>
      <c r="L116" s="50"/>
      <c r="M116" s="50"/>
      <c r="N116" s="54"/>
    </row>
    <row r="117" spans="1:15" ht="15" customHeight="1" x14ac:dyDescent="0.2">
      <c r="A117" s="57"/>
      <c r="B117" s="20" t="s">
        <v>576</v>
      </c>
      <c r="C117" s="476" t="str">
        <f>NSFR!B94</f>
        <v>Check: sum of rows 89 to 93 for each column should equal the corresponding column in row 88</v>
      </c>
      <c r="D117" s="495" t="str">
        <f>NSFR!C94</f>
        <v>Pass</v>
      </c>
      <c r="E117" s="495" t="str">
        <f>NSFR!D94</f>
        <v>Pass</v>
      </c>
      <c r="F117" s="495" t="str">
        <f>NSFR!E94</f>
        <v>Pass</v>
      </c>
      <c r="G117" s="495" t="str">
        <f>NSFR!F94</f>
        <v>Pass</v>
      </c>
      <c r="H117" s="495" t="str">
        <f>NSFR!G94</f>
        <v>Pass</v>
      </c>
      <c r="J117" s="50"/>
      <c r="K117" s="50"/>
      <c r="L117" s="50"/>
      <c r="M117" s="50"/>
      <c r="N117" s="54"/>
    </row>
    <row r="118" spans="1:15" ht="15" customHeight="1" x14ac:dyDescent="0.2">
      <c r="A118" s="57"/>
      <c r="B118" s="20" t="s">
        <v>576</v>
      </c>
      <c r="C118" s="476" t="str">
        <f>NSFR!B103</f>
        <v>Check: sum of rows 98 to 102 for each column should equal the corresponding column in row 97</v>
      </c>
      <c r="D118" s="495" t="str">
        <f>NSFR!C103</f>
        <v>Pass</v>
      </c>
      <c r="E118" s="495" t="str">
        <f>NSFR!D103</f>
        <v>Pass</v>
      </c>
      <c r="F118" s="495" t="str">
        <f>NSFR!E103</f>
        <v>Pass</v>
      </c>
      <c r="G118" s="495" t="str">
        <f>NSFR!F103</f>
        <v>Pass</v>
      </c>
      <c r="H118" s="495" t="str">
        <f>NSFR!G103</f>
        <v>Pass</v>
      </c>
      <c r="J118" s="50"/>
      <c r="K118" s="50"/>
      <c r="L118" s="50"/>
      <c r="M118" s="50"/>
      <c r="N118" s="54"/>
    </row>
    <row r="119" spans="1:15" ht="15" customHeight="1" x14ac:dyDescent="0.2">
      <c r="A119" s="57"/>
      <c r="B119" s="20" t="s">
        <v>576</v>
      </c>
      <c r="C119" s="476" t="str">
        <f>NSFR!B112</f>
        <v>Check: sum of rows 107 to 111 for each column should equal the corresponding column in row 106</v>
      </c>
      <c r="D119" s="546"/>
      <c r="E119" s="547"/>
      <c r="F119" s="547"/>
      <c r="G119" s="548"/>
      <c r="H119" s="495" t="str">
        <f>NSFR!G112</f>
        <v>Pass</v>
      </c>
      <c r="J119" s="50"/>
      <c r="K119" s="50"/>
      <c r="L119" s="50"/>
      <c r="M119" s="50"/>
      <c r="N119" s="54"/>
    </row>
    <row r="120" spans="1:15" ht="15" customHeight="1" x14ac:dyDescent="0.2">
      <c r="A120" s="57"/>
      <c r="B120" s="20" t="s">
        <v>576</v>
      </c>
      <c r="C120" s="476" t="str">
        <f>NSFR!B121</f>
        <v>Check: sum of rows 116 to 120 for each column should equal the corresponding column in row 115</v>
      </c>
      <c r="D120" s="554"/>
      <c r="E120" s="552"/>
      <c r="F120" s="552"/>
      <c r="G120" s="553"/>
      <c r="H120" s="495" t="str">
        <f>NSFR!G121</f>
        <v>Pass</v>
      </c>
      <c r="J120" s="50"/>
      <c r="K120" s="50"/>
      <c r="L120" s="50"/>
      <c r="M120" s="50"/>
      <c r="N120" s="54"/>
    </row>
    <row r="121" spans="1:15" ht="15" customHeight="1" x14ac:dyDescent="0.2">
      <c r="A121" s="57"/>
      <c r="B121" s="20" t="s">
        <v>576</v>
      </c>
      <c r="C121" s="476" t="str">
        <f>NSFR!B130</f>
        <v>Check: sum of rows 125 to 129 for each column should equal the corresponding column in row 124</v>
      </c>
      <c r="D121" s="495" t="str">
        <f>NSFR!C130</f>
        <v>Pass</v>
      </c>
      <c r="E121" s="495" t="str">
        <f>NSFR!D130</f>
        <v>Pass</v>
      </c>
      <c r="F121" s="495" t="str">
        <f>NSFR!E130</f>
        <v>Pass</v>
      </c>
      <c r="G121" s="495" t="str">
        <f>NSFR!F130</f>
        <v>Pass</v>
      </c>
      <c r="H121" s="495" t="str">
        <f>NSFR!G130</f>
        <v>Pass</v>
      </c>
      <c r="J121" s="50"/>
      <c r="K121" s="50"/>
      <c r="L121" s="50"/>
      <c r="M121" s="50"/>
      <c r="N121" s="54"/>
    </row>
    <row r="122" spans="1:15" ht="15" customHeight="1" x14ac:dyDescent="0.2">
      <c r="A122" s="57"/>
      <c r="B122" s="20" t="s">
        <v>576</v>
      </c>
      <c r="C122" s="476" t="str">
        <f>NSFR!B139</f>
        <v>Check: sum of rows 134 to 138 for each column should equal the corresponding column in row 133</v>
      </c>
      <c r="D122" s="495" t="str">
        <f>NSFR!C139</f>
        <v>Pass</v>
      </c>
      <c r="E122" s="495" t="str">
        <f>NSFR!D139</f>
        <v>Pass</v>
      </c>
      <c r="F122" s="495" t="str">
        <f>NSFR!E139</f>
        <v>Pass</v>
      </c>
      <c r="G122" s="495" t="str">
        <f>NSFR!F139</f>
        <v>Pass</v>
      </c>
      <c r="H122" s="495" t="str">
        <f>NSFR!G139</f>
        <v>Pass</v>
      </c>
      <c r="J122" s="50"/>
      <c r="K122" s="50"/>
      <c r="L122" s="50"/>
      <c r="M122" s="50"/>
      <c r="N122" s="54"/>
    </row>
    <row r="123" spans="1:15" ht="15" customHeight="1" x14ac:dyDescent="0.2">
      <c r="A123" s="57"/>
      <c r="B123" s="20" t="s">
        <v>576</v>
      </c>
      <c r="C123" s="476" t="str">
        <f>NSFR!B148</f>
        <v>Check: sum of rows 143 to 147 for each column should equal the corresponding column in row 142</v>
      </c>
      <c r="D123" s="495" t="str">
        <f>NSFR!C148</f>
        <v>Pass</v>
      </c>
      <c r="E123" s="495" t="str">
        <f>NSFR!D148</f>
        <v>Pass</v>
      </c>
      <c r="F123" s="495" t="str">
        <f>NSFR!E148</f>
        <v>Pass</v>
      </c>
      <c r="G123" s="495" t="str">
        <f>NSFR!F148</f>
        <v>Pass</v>
      </c>
      <c r="H123" s="79"/>
      <c r="J123" s="50"/>
      <c r="K123" s="50"/>
      <c r="L123" s="50"/>
      <c r="M123" s="50"/>
      <c r="N123" s="54"/>
    </row>
    <row r="124" spans="1:15" ht="15" customHeight="1" x14ac:dyDescent="0.2">
      <c r="A124" s="57"/>
      <c r="B124" s="20" t="s">
        <v>576</v>
      </c>
      <c r="C124" s="476" t="str">
        <f>NSFR!B157</f>
        <v>Check: sum of rows 152 to 156 for each column should equal the corresponding column in row 151</v>
      </c>
      <c r="D124" s="495" t="str">
        <f>NSFR!C157</f>
        <v>Pass</v>
      </c>
      <c r="E124" s="495" t="str">
        <f>NSFR!D157</f>
        <v>Pass</v>
      </c>
      <c r="F124" s="495" t="str">
        <f>NSFR!E157</f>
        <v>Pass</v>
      </c>
      <c r="G124" s="495" t="str">
        <f>NSFR!F157</f>
        <v>Pass</v>
      </c>
      <c r="H124" s="495" t="str">
        <f>NSFR!G157</f>
        <v>Pass</v>
      </c>
      <c r="J124" s="50"/>
      <c r="K124" s="50"/>
      <c r="L124" s="50"/>
      <c r="M124" s="50"/>
      <c r="N124" s="54"/>
    </row>
    <row r="125" spans="1:15" ht="15" customHeight="1" x14ac:dyDescent="0.2">
      <c r="A125" s="57"/>
      <c r="B125" s="20" t="s">
        <v>576</v>
      </c>
      <c r="C125" s="476" t="str">
        <f>NSFR!B166</f>
        <v>Check: sum of rows 161 to 165 for each column should equal the corresponding column in row 160</v>
      </c>
      <c r="D125" s="495" t="str">
        <f>NSFR!C166</f>
        <v>Pass</v>
      </c>
      <c r="E125" s="495" t="str">
        <f>NSFR!D166</f>
        <v>Pass</v>
      </c>
      <c r="F125" s="495" t="str">
        <f>NSFR!E166</f>
        <v>Pass</v>
      </c>
      <c r="G125" s="495" t="str">
        <f>NSFR!F166</f>
        <v>Pass</v>
      </c>
      <c r="H125" s="79"/>
      <c r="J125" s="50"/>
      <c r="K125" s="50"/>
      <c r="L125" s="50"/>
      <c r="M125" s="50"/>
      <c r="N125" s="54"/>
    </row>
    <row r="126" spans="1:15" ht="15" customHeight="1" x14ac:dyDescent="0.2">
      <c r="A126" s="57"/>
      <c r="B126" s="20" t="s">
        <v>576</v>
      </c>
      <c r="C126" s="476" t="str">
        <f>NSFR!B175</f>
        <v>Check: sum of rows 170 to 174 for each column should equal the corresponding column in row 169</v>
      </c>
      <c r="D126" s="556"/>
      <c r="E126" s="557"/>
      <c r="F126" s="557"/>
      <c r="G126" s="555"/>
      <c r="H126" s="495" t="str">
        <f>NSFR!G175</f>
        <v>Pass</v>
      </c>
      <c r="J126" s="50"/>
      <c r="K126" s="50"/>
      <c r="L126" s="50"/>
      <c r="M126" s="50"/>
      <c r="N126" s="54"/>
    </row>
    <row r="127" spans="1:15" ht="15" customHeight="1" x14ac:dyDescent="0.2">
      <c r="A127" s="57"/>
      <c r="B127" s="20" t="s">
        <v>576</v>
      </c>
      <c r="C127" s="476" t="str">
        <f>NSFR!B184</f>
        <v>Check: sum of rows 179 to 183 for each column should equal the corresponding column in row 178</v>
      </c>
      <c r="D127" s="495" t="str">
        <f>NSFR!C184</f>
        <v>Pass</v>
      </c>
      <c r="E127" s="495" t="str">
        <f>NSFR!D184</f>
        <v>Pass</v>
      </c>
      <c r="F127" s="495" t="str">
        <f>NSFR!E184</f>
        <v>Pass</v>
      </c>
      <c r="G127" s="495" t="str">
        <f>NSFR!F184</f>
        <v>Pass</v>
      </c>
      <c r="H127" s="79"/>
      <c r="J127" s="50"/>
      <c r="K127" s="50"/>
      <c r="L127" s="50"/>
      <c r="M127" s="50"/>
      <c r="N127" s="54"/>
    </row>
    <row r="128" spans="1:15" ht="30" customHeight="1" x14ac:dyDescent="0.2">
      <c r="A128" s="57"/>
      <c r="B128" s="20" t="s">
        <v>571</v>
      </c>
      <c r="C128" s="476" t="str">
        <f>NSFR!B232</f>
        <v>Check: the sum of each of the columns for rows 214 to 231 should equal the corresponding column in row 30</v>
      </c>
      <c r="D128" s="495" t="str">
        <f>NSFR!C232</f>
        <v>Pass</v>
      </c>
      <c r="E128" s="495" t="str">
        <f>NSFR!D232</f>
        <v>Pass</v>
      </c>
      <c r="F128" s="495" t="str">
        <f>NSFR!E232</f>
        <v>Pass</v>
      </c>
      <c r="G128" s="495" t="str">
        <f>NSFR!F232</f>
        <v>Pass</v>
      </c>
      <c r="H128" s="495" t="str">
        <f>NSFR!G232</f>
        <v>Pass</v>
      </c>
      <c r="J128" s="50"/>
      <c r="K128" s="50"/>
      <c r="L128" s="50"/>
      <c r="M128" s="50"/>
      <c r="N128" s="54"/>
    </row>
    <row r="129" spans="1:14" ht="15" customHeight="1" x14ac:dyDescent="0.2">
      <c r="A129" s="57"/>
      <c r="B129" s="20" t="s">
        <v>571</v>
      </c>
      <c r="C129" s="605" t="str">
        <f>NSFR!B246</f>
        <v>Check: sum of rows 241 to 245 for each column should equal the corresponding column in row 240</v>
      </c>
      <c r="D129" s="606" t="str">
        <f>NSFR!C246</f>
        <v>Pass</v>
      </c>
      <c r="E129" s="606" t="str">
        <f>NSFR!D246</f>
        <v>Pass</v>
      </c>
      <c r="F129" s="606" t="str">
        <f>NSFR!E246</f>
        <v>Pass</v>
      </c>
      <c r="G129" s="606" t="str">
        <f>NSFR!F246</f>
        <v>Pass</v>
      </c>
      <c r="H129" s="606" t="str">
        <f>NSFR!G246</f>
        <v>Pass</v>
      </c>
      <c r="J129" s="50"/>
      <c r="K129" s="50"/>
      <c r="L129" s="50"/>
      <c r="M129" s="50"/>
      <c r="N129" s="54"/>
    </row>
    <row r="130" spans="1:14" ht="15" customHeight="1" x14ac:dyDescent="0.2">
      <c r="A130" s="57"/>
      <c r="B130" s="20" t="s">
        <v>571</v>
      </c>
      <c r="C130" s="604" t="str">
        <f>NSFR!B255</f>
        <v>Check: sum of rows 250 to 254 for each column should equal the corresponding column in row 249</v>
      </c>
      <c r="D130" s="606" t="str">
        <f>NSFR!C255</f>
        <v>Pass</v>
      </c>
      <c r="E130" s="606" t="str">
        <f>NSFR!D255</f>
        <v>Pass</v>
      </c>
      <c r="F130" s="606" t="str">
        <f>NSFR!E255</f>
        <v>Pass</v>
      </c>
      <c r="G130" s="606" t="str">
        <f>NSFR!F255</f>
        <v>Pass</v>
      </c>
      <c r="H130" s="606" t="str">
        <f>NSFR!G255</f>
        <v>Pass</v>
      </c>
      <c r="J130" s="50"/>
      <c r="K130" s="50"/>
      <c r="L130" s="50"/>
      <c r="M130" s="50"/>
      <c r="N130" s="54"/>
    </row>
    <row r="131" spans="1:14" ht="15" customHeight="1" x14ac:dyDescent="0.2">
      <c r="A131" s="51"/>
      <c r="B131" s="46"/>
      <c r="C131" s="75"/>
      <c r="D131" s="46"/>
      <c r="E131" s="46"/>
      <c r="F131" s="46"/>
      <c r="G131" s="46"/>
      <c r="H131" s="46"/>
      <c r="I131" s="46"/>
      <c r="J131" s="46"/>
      <c r="K131" s="46"/>
      <c r="L131" s="46"/>
      <c r="M131" s="46"/>
      <c r="N131" s="32"/>
    </row>
  </sheetData>
  <phoneticPr fontId="8" type="noConversion"/>
  <conditionalFormatting sqref="H126 H117:H122 E52:E53 D127:G130 H128:H130 D51:D60 D61:E93 D121:G125 H124 D112:G112 D114:G118 D113">
    <cfRule type="cellIs" dxfId="39" priority="69" stopIfTrue="1" operator="equal">
      <formula>"Fail"</formula>
    </cfRule>
    <cfRule type="cellIs" dxfId="38" priority="70" stopIfTrue="1" operator="equal">
      <formula>"Pass"</formula>
    </cfRule>
  </conditionalFormatting>
  <conditionalFormatting sqref="D5:D6 D9 D38:D43 F29 G37 H23:H28 I44:I46 E43:G43 E7:E14 D15 D17 F34:F36">
    <cfRule type="cellIs" dxfId="37" priority="65" stopIfTrue="1" operator="equal">
      <formula>"No"</formula>
    </cfRule>
    <cfRule type="cellIs" dxfId="36" priority="66" stopIfTrue="1" operator="equal">
      <formula>"Yes"</formula>
    </cfRule>
  </conditionalFormatting>
  <conditionalFormatting sqref="D16">
    <cfRule type="cellIs" dxfId="35" priority="59" stopIfTrue="1" operator="equal">
      <formula>"No"</formula>
    </cfRule>
    <cfRule type="cellIs" dxfId="34" priority="60" stopIfTrue="1" operator="equal">
      <formula>"Yes"</formula>
    </cfRule>
  </conditionalFormatting>
  <conditionalFormatting sqref="E30">
    <cfRule type="cellIs" dxfId="33" priority="57" stopIfTrue="1" operator="equal">
      <formula>"No"</formula>
    </cfRule>
    <cfRule type="cellIs" dxfId="32" priority="58" stopIfTrue="1" operator="equal">
      <formula>"Yes"</formula>
    </cfRule>
  </conditionalFormatting>
  <conditionalFormatting sqref="E31">
    <cfRule type="cellIs" dxfId="31" priority="55" stopIfTrue="1" operator="equal">
      <formula>"No"</formula>
    </cfRule>
    <cfRule type="cellIs" dxfId="30" priority="56" stopIfTrue="1" operator="equal">
      <formula>"Yes"</formula>
    </cfRule>
  </conditionalFormatting>
  <conditionalFormatting sqref="E32">
    <cfRule type="cellIs" dxfId="29" priority="53" stopIfTrue="1" operator="equal">
      <formula>"No"</formula>
    </cfRule>
    <cfRule type="cellIs" dxfId="28" priority="54" stopIfTrue="1" operator="equal">
      <formula>"Yes"</formula>
    </cfRule>
  </conditionalFormatting>
  <conditionalFormatting sqref="E33">
    <cfRule type="cellIs" dxfId="27" priority="51" stopIfTrue="1" operator="equal">
      <formula>"No"</formula>
    </cfRule>
    <cfRule type="cellIs" dxfId="26" priority="52" stopIfTrue="1" operator="equal">
      <formula>"Yes"</formula>
    </cfRule>
  </conditionalFormatting>
  <conditionalFormatting sqref="I38:I43 K29 L37 M23:M28 K34:K36 J43:K43 M43">
    <cfRule type="cellIs" dxfId="25" priority="47" stopIfTrue="1" operator="equal">
      <formula>"No"</formula>
    </cfRule>
    <cfRule type="cellIs" dxfId="24" priority="48" stopIfTrue="1" operator="equal">
      <formula>"Yes"</formula>
    </cfRule>
  </conditionalFormatting>
  <conditionalFormatting sqref="J30">
    <cfRule type="cellIs" dxfId="23" priority="45" stopIfTrue="1" operator="equal">
      <formula>"No"</formula>
    </cfRule>
    <cfRule type="cellIs" dxfId="22" priority="46" stopIfTrue="1" operator="equal">
      <formula>"Yes"</formula>
    </cfRule>
  </conditionalFormatting>
  <conditionalFormatting sqref="J31">
    <cfRule type="cellIs" dxfId="21" priority="43" stopIfTrue="1" operator="equal">
      <formula>"No"</formula>
    </cfRule>
    <cfRule type="cellIs" dxfId="20" priority="44" stopIfTrue="1" operator="equal">
      <formula>"Yes"</formula>
    </cfRule>
  </conditionalFormatting>
  <conditionalFormatting sqref="J32">
    <cfRule type="cellIs" dxfId="19" priority="41" stopIfTrue="1" operator="equal">
      <formula>"No"</formula>
    </cfRule>
    <cfRule type="cellIs" dxfId="18" priority="42" stopIfTrue="1" operator="equal">
      <formula>"Yes"</formula>
    </cfRule>
  </conditionalFormatting>
  <conditionalFormatting sqref="J33">
    <cfRule type="cellIs" dxfId="17" priority="39" stopIfTrue="1" operator="equal">
      <formula>"No"</formula>
    </cfRule>
    <cfRule type="cellIs" dxfId="16" priority="40" stopIfTrue="1" operator="equal">
      <formula>"Yes"</formula>
    </cfRule>
  </conditionalFormatting>
  <conditionalFormatting sqref="H43">
    <cfRule type="cellIs" dxfId="15" priority="37" stopIfTrue="1" operator="equal">
      <formula>"No"</formula>
    </cfRule>
    <cfRule type="cellIs" dxfId="14" priority="38" stopIfTrue="1" operator="equal">
      <formula>"Yes"</formula>
    </cfRule>
  </conditionalFormatting>
  <conditionalFormatting sqref="L43">
    <cfRule type="cellIs" dxfId="13" priority="35" stopIfTrue="1" operator="equal">
      <formula>"No"</formula>
    </cfRule>
    <cfRule type="cellIs" dxfId="12" priority="36" stopIfTrue="1" operator="equal">
      <formula>"Yes"</formula>
    </cfRule>
  </conditionalFormatting>
  <conditionalFormatting sqref="E57:E60">
    <cfRule type="cellIs" dxfId="11" priority="29" stopIfTrue="1" operator="equal">
      <formula>"Fail"</formula>
    </cfRule>
    <cfRule type="cellIs" dxfId="10" priority="30" stopIfTrue="1" operator="equal">
      <formula>"Pass"</formula>
    </cfRule>
  </conditionalFormatting>
  <conditionalFormatting sqref="F52:G53">
    <cfRule type="cellIs" dxfId="9" priority="15" stopIfTrue="1" operator="equal">
      <formula>"Fail"</formula>
    </cfRule>
    <cfRule type="cellIs" dxfId="8" priority="16" stopIfTrue="1" operator="equal">
      <formula>"Pass"</formula>
    </cfRule>
  </conditionalFormatting>
  <conditionalFormatting sqref="G29">
    <cfRule type="cellIs" dxfId="7" priority="13" stopIfTrue="1" operator="equal">
      <formula>"No"</formula>
    </cfRule>
    <cfRule type="cellIs" dxfId="6" priority="14" stopIfTrue="1" operator="equal">
      <formula>"Yes"</formula>
    </cfRule>
  </conditionalFormatting>
  <conditionalFormatting sqref="L29">
    <cfRule type="cellIs" dxfId="5" priority="11" stopIfTrue="1" operator="equal">
      <formula>"No"</formula>
    </cfRule>
    <cfRule type="cellIs" dxfId="4" priority="12" stopIfTrue="1" operator="equal">
      <formula>"Yes"</formula>
    </cfRule>
  </conditionalFormatting>
  <conditionalFormatting sqref="H98 D104:H104 D107:H107 D110:H110 D99:D106 D108:D109 D111">
    <cfRule type="cellIs" dxfId="3" priority="9" stopIfTrue="1" operator="equal">
      <formula>"Fail"</formula>
    </cfRule>
    <cfRule type="cellIs" dxfId="2" priority="10" stopIfTrue="1" operator="equal">
      <formula>"Pass"</formula>
    </cfRule>
  </conditionalFormatting>
  <conditionalFormatting sqref="E18">
    <cfRule type="cellIs" dxfId="1" priority="1" stopIfTrue="1" operator="equal">
      <formula>"No"</formula>
    </cfRule>
    <cfRule type="cellIs" dxfId="0" priority="2" stopIfTrue="1" operator="equal">
      <formula>"Yes"</formula>
    </cfRule>
  </conditionalFormatting>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7" max="13" man="1"/>
    <brk id="9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5"/>
  </sheetPr>
  <dimension ref="A1:I154"/>
  <sheetViews>
    <sheetView zoomScale="75" zoomScaleNormal="75" workbookViewId="0">
      <selection activeCell="G8" sqref="G8"/>
    </sheetView>
  </sheetViews>
  <sheetFormatPr defaultColWidth="11.42578125" defaultRowHeight="15" customHeight="1" x14ac:dyDescent="0.2"/>
  <cols>
    <col min="1" max="1" width="60.7109375" style="28" customWidth="1"/>
    <col min="2" max="2" width="10.7109375" style="28" customWidth="1"/>
    <col min="3" max="7" width="12.7109375" style="28" customWidth="1"/>
    <col min="8" max="8" width="1.7109375" style="28" customWidth="1"/>
    <col min="9" max="16384" width="11.42578125" style="28"/>
  </cols>
  <sheetData>
    <row r="1" spans="1:8" s="65" customFormat="1" ht="30" customHeight="1" x14ac:dyDescent="0.4">
      <c r="A1" s="66" t="s">
        <v>208</v>
      </c>
      <c r="B1" s="63"/>
      <c r="C1" s="63"/>
      <c r="D1" s="63"/>
      <c r="E1" s="63"/>
      <c r="F1" s="63"/>
      <c r="G1" s="63"/>
      <c r="H1" s="64"/>
    </row>
    <row r="2" spans="1:8" s="35" customFormat="1" ht="30" customHeight="1" x14ac:dyDescent="0.25">
      <c r="A2" s="53" t="s">
        <v>198</v>
      </c>
      <c r="B2" s="36"/>
      <c r="C2" s="36"/>
      <c r="D2" s="36"/>
      <c r="E2" s="36"/>
      <c r="F2" s="36"/>
      <c r="G2" s="36"/>
      <c r="H2" s="42"/>
    </row>
    <row r="3" spans="1:8" s="156" customFormat="1" ht="15" customHeight="1" x14ac:dyDescent="0.2">
      <c r="A3" s="144"/>
      <c r="B3" s="23"/>
      <c r="C3" s="23"/>
      <c r="D3" s="23"/>
      <c r="E3" s="23"/>
      <c r="F3" s="23"/>
      <c r="G3" s="23"/>
      <c r="H3" s="155"/>
    </row>
    <row r="4" spans="1:8" s="156" customFormat="1" ht="15" customHeight="1" x14ac:dyDescent="0.2">
      <c r="A4" s="99" t="s">
        <v>192</v>
      </c>
      <c r="B4" s="157"/>
      <c r="C4" s="323">
        <v>2</v>
      </c>
      <c r="D4" s="323">
        <v>6</v>
      </c>
      <c r="E4" s="501" t="s">
        <v>1122</v>
      </c>
      <c r="F4" s="324">
        <v>0</v>
      </c>
      <c r="G4" s="23"/>
      <c r="H4" s="158"/>
    </row>
    <row r="5" spans="1:8" s="156" customFormat="1" ht="15" customHeight="1" x14ac:dyDescent="0.2">
      <c r="A5" s="117" t="s">
        <v>634</v>
      </c>
      <c r="B5" s="157"/>
      <c r="C5" s="325">
        <v>0</v>
      </c>
      <c r="D5" s="23"/>
      <c r="E5" s="23"/>
      <c r="F5" s="23"/>
      <c r="G5" s="23"/>
      <c r="H5" s="158"/>
    </row>
    <row r="6" spans="1:8" s="156" customFormat="1" ht="15" customHeight="1" x14ac:dyDescent="0.2">
      <c r="A6" s="159"/>
      <c r="B6" s="160"/>
      <c r="C6" s="160"/>
      <c r="D6" s="160"/>
      <c r="E6" s="160"/>
      <c r="F6" s="160"/>
      <c r="G6" s="160"/>
      <c r="H6" s="161"/>
    </row>
    <row r="7" spans="1:8" s="35" customFormat="1" ht="30" customHeight="1" x14ac:dyDescent="0.25">
      <c r="A7" s="43" t="s">
        <v>22</v>
      </c>
      <c r="B7" s="37"/>
      <c r="C7" s="37"/>
      <c r="D7" s="37"/>
      <c r="E7" s="37"/>
      <c r="F7" s="37"/>
      <c r="G7" s="37"/>
      <c r="H7" s="38"/>
    </row>
    <row r="8" spans="1:8" s="35" customFormat="1" ht="30" customHeight="1" x14ac:dyDescent="0.25">
      <c r="A8" s="44" t="s">
        <v>348</v>
      </c>
      <c r="B8" s="34"/>
      <c r="C8" s="34"/>
      <c r="D8" s="34"/>
      <c r="E8" s="34"/>
      <c r="F8" s="34"/>
      <c r="G8" s="34"/>
      <c r="H8" s="45"/>
    </row>
    <row r="9" spans="1:8" s="35" customFormat="1" ht="15" customHeight="1" x14ac:dyDescent="0.25">
      <c r="A9" s="307"/>
      <c r="B9" s="34"/>
      <c r="C9" s="34"/>
      <c r="D9" s="34"/>
      <c r="E9" s="34"/>
      <c r="F9" s="34"/>
      <c r="G9" s="34"/>
      <c r="H9" s="45"/>
    </row>
    <row r="10" spans="1:8" s="35" customFormat="1" ht="15" customHeight="1" x14ac:dyDescent="0.25">
      <c r="A10" s="307"/>
      <c r="B10" s="34"/>
      <c r="C10" s="34"/>
      <c r="D10" s="34"/>
      <c r="E10" s="197" t="s">
        <v>678</v>
      </c>
      <c r="F10" s="34"/>
      <c r="G10" s="34"/>
      <c r="H10" s="45"/>
    </row>
    <row r="11" spans="1:8" s="35" customFormat="1" ht="15" customHeight="1" x14ac:dyDescent="0.25">
      <c r="A11" s="99" t="s">
        <v>701</v>
      </c>
      <c r="B11" s="315"/>
      <c r="C11" s="316"/>
      <c r="D11" s="265"/>
      <c r="E11" s="79"/>
      <c r="F11" s="34"/>
      <c r="G11" s="34"/>
      <c r="H11" s="45"/>
    </row>
    <row r="12" spans="1:8" s="35" customFormat="1" ht="15" customHeight="1" x14ac:dyDescent="0.25">
      <c r="A12" s="153" t="s">
        <v>517</v>
      </c>
      <c r="B12" s="315"/>
      <c r="C12" s="316"/>
      <c r="D12" s="265"/>
      <c r="E12" s="79"/>
      <c r="F12" s="34"/>
      <c r="G12" s="34"/>
      <c r="H12" s="45"/>
    </row>
    <row r="13" spans="1:8" s="35" customFormat="1" ht="15" customHeight="1" x14ac:dyDescent="0.25">
      <c r="A13" s="636" t="s">
        <v>626</v>
      </c>
      <c r="B13" s="315"/>
      <c r="C13" s="316"/>
      <c r="D13" s="265"/>
      <c r="E13" s="635">
        <v>1</v>
      </c>
      <c r="F13" s="34"/>
      <c r="G13" s="34"/>
      <c r="H13" s="45"/>
    </row>
    <row r="14" spans="1:8" s="35" customFormat="1" ht="15" customHeight="1" x14ac:dyDescent="0.25">
      <c r="A14" s="636" t="s">
        <v>627</v>
      </c>
      <c r="B14" s="315"/>
      <c r="C14" s="316"/>
      <c r="D14" s="265"/>
      <c r="E14" s="635">
        <v>1</v>
      </c>
      <c r="F14" s="34"/>
      <c r="G14" s="34"/>
      <c r="H14" s="45"/>
    </row>
    <row r="15" spans="1:8" s="35" customFormat="1" ht="15" customHeight="1" x14ac:dyDescent="0.25">
      <c r="A15" s="636" t="s">
        <v>628</v>
      </c>
      <c r="B15" s="315"/>
      <c r="C15" s="316"/>
      <c r="D15" s="265"/>
      <c r="E15" s="635">
        <v>1</v>
      </c>
      <c r="F15" s="34"/>
      <c r="G15" s="34"/>
      <c r="H15" s="45"/>
    </row>
    <row r="16" spans="1:8" s="35" customFormat="1" ht="15" customHeight="1" x14ac:dyDescent="0.25">
      <c r="A16" s="636" t="s">
        <v>629</v>
      </c>
      <c r="B16" s="315"/>
      <c r="C16" s="316"/>
      <c r="D16" s="265"/>
      <c r="E16" s="635">
        <v>1</v>
      </c>
      <c r="F16" s="34"/>
      <c r="G16" s="34"/>
      <c r="H16" s="45"/>
    </row>
    <row r="17" spans="1:8" s="35" customFormat="1" ht="15" customHeight="1" x14ac:dyDescent="0.25">
      <c r="A17" s="636" t="s">
        <v>971</v>
      </c>
      <c r="B17" s="315"/>
      <c r="C17" s="316"/>
      <c r="D17" s="265"/>
      <c r="E17" s="635">
        <v>1</v>
      </c>
      <c r="F17" s="34"/>
      <c r="G17" s="34"/>
      <c r="H17" s="45"/>
    </row>
    <row r="18" spans="1:8" s="35" customFormat="1" ht="15" customHeight="1" x14ac:dyDescent="0.25">
      <c r="A18" s="153" t="s">
        <v>681</v>
      </c>
      <c r="B18" s="315"/>
      <c r="C18" s="316"/>
      <c r="D18" s="265"/>
      <c r="E18" s="79"/>
      <c r="F18" s="34"/>
      <c r="G18" s="34"/>
      <c r="H18" s="45"/>
    </row>
    <row r="19" spans="1:8" s="35" customFormat="1" ht="30" customHeight="1" x14ac:dyDescent="0.25">
      <c r="A19" s="885" t="s">
        <v>682</v>
      </c>
      <c r="B19" s="886"/>
      <c r="C19" s="886"/>
      <c r="D19" s="887"/>
      <c r="E19" s="635">
        <v>1</v>
      </c>
      <c r="F19" s="34"/>
      <c r="G19" s="34"/>
      <c r="H19" s="45"/>
    </row>
    <row r="20" spans="1:8" s="35" customFormat="1" ht="45" customHeight="1" x14ac:dyDescent="0.25">
      <c r="A20" s="885" t="s">
        <v>972</v>
      </c>
      <c r="B20" s="886"/>
      <c r="C20" s="886"/>
      <c r="D20" s="887"/>
      <c r="E20" s="635">
        <v>1</v>
      </c>
      <c r="F20" s="34"/>
      <c r="G20" s="34"/>
      <c r="H20" s="45"/>
    </row>
    <row r="21" spans="1:8" s="35" customFormat="1" ht="15" customHeight="1" x14ac:dyDescent="0.25">
      <c r="A21" s="99" t="s">
        <v>973</v>
      </c>
      <c r="B21" s="315"/>
      <c r="C21" s="316"/>
      <c r="D21" s="265"/>
      <c r="E21" s="79"/>
      <c r="F21" s="34"/>
      <c r="G21" s="34"/>
      <c r="H21" s="45"/>
    </row>
    <row r="22" spans="1:8" s="35" customFormat="1" ht="15" customHeight="1" x14ac:dyDescent="0.25">
      <c r="A22" s="153" t="s">
        <v>688</v>
      </c>
      <c r="B22" s="315"/>
      <c r="C22" s="316"/>
      <c r="D22" s="265"/>
      <c r="E22" s="79"/>
      <c r="F22" s="34"/>
      <c r="G22" s="34"/>
      <c r="H22" s="45"/>
    </row>
    <row r="23" spans="1:8" s="35" customFormat="1" ht="15" customHeight="1" x14ac:dyDescent="0.25">
      <c r="A23" s="636" t="s">
        <v>626</v>
      </c>
      <c r="B23" s="315"/>
      <c r="C23" s="316"/>
      <c r="D23" s="265"/>
      <c r="E23" s="635">
        <v>0.85</v>
      </c>
      <c r="F23" s="34"/>
      <c r="G23" s="34"/>
      <c r="H23" s="45"/>
    </row>
    <row r="24" spans="1:8" s="35" customFormat="1" ht="15" customHeight="1" x14ac:dyDescent="0.25">
      <c r="A24" s="636" t="s">
        <v>627</v>
      </c>
      <c r="B24" s="315"/>
      <c r="C24" s="316"/>
      <c r="D24" s="265"/>
      <c r="E24" s="635">
        <v>0.85</v>
      </c>
      <c r="F24" s="34"/>
      <c r="G24" s="34"/>
      <c r="H24" s="45"/>
    </row>
    <row r="25" spans="1:8" s="35" customFormat="1" ht="15" customHeight="1" x14ac:dyDescent="0.25">
      <c r="A25" s="636" t="s">
        <v>628</v>
      </c>
      <c r="B25" s="315"/>
      <c r="C25" s="316"/>
      <c r="D25" s="265"/>
      <c r="E25" s="635">
        <v>0.85</v>
      </c>
      <c r="F25" s="34"/>
      <c r="G25" s="34"/>
      <c r="H25" s="45"/>
    </row>
    <row r="26" spans="1:8" s="35" customFormat="1" ht="15" customHeight="1" x14ac:dyDescent="0.25">
      <c r="A26" s="636" t="s">
        <v>629</v>
      </c>
      <c r="B26" s="315"/>
      <c r="C26" s="316"/>
      <c r="D26" s="265"/>
      <c r="E26" s="635">
        <v>0.85</v>
      </c>
      <c r="F26" s="34"/>
      <c r="G26" s="34"/>
      <c r="H26" s="45"/>
    </row>
    <row r="27" spans="1:8" s="35" customFormat="1" ht="15" customHeight="1" x14ac:dyDescent="0.25">
      <c r="A27" s="636" t="s">
        <v>689</v>
      </c>
      <c r="B27" s="315"/>
      <c r="C27" s="316"/>
      <c r="D27" s="265"/>
      <c r="E27" s="635">
        <v>0.85</v>
      </c>
      <c r="F27" s="34"/>
      <c r="G27" s="34"/>
      <c r="H27" s="45"/>
    </row>
    <row r="28" spans="1:8" s="35" customFormat="1" ht="15" customHeight="1" x14ac:dyDescent="0.25">
      <c r="A28" s="153" t="s">
        <v>690</v>
      </c>
      <c r="B28" s="315"/>
      <c r="C28" s="316"/>
      <c r="D28" s="265"/>
      <c r="E28" s="635">
        <v>0.85</v>
      </c>
      <c r="F28" s="34"/>
      <c r="G28" s="34"/>
      <c r="H28" s="45"/>
    </row>
    <row r="29" spans="1:8" s="35" customFormat="1" ht="15" customHeight="1" x14ac:dyDescent="0.25">
      <c r="A29" s="153" t="s">
        <v>691</v>
      </c>
      <c r="B29" s="315"/>
      <c r="C29" s="316"/>
      <c r="D29" s="265"/>
      <c r="E29" s="635">
        <v>0.85</v>
      </c>
      <c r="F29" s="34"/>
      <c r="G29" s="34"/>
      <c r="H29" s="45"/>
    </row>
    <row r="30" spans="1:8" s="35" customFormat="1" ht="15" customHeight="1" x14ac:dyDescent="0.25">
      <c r="A30" s="153" t="s">
        <v>823</v>
      </c>
      <c r="B30" s="315"/>
      <c r="C30" s="316"/>
      <c r="D30" s="265"/>
      <c r="E30" s="635">
        <v>0.85</v>
      </c>
      <c r="F30" s="34"/>
      <c r="G30" s="34"/>
      <c r="H30" s="45"/>
    </row>
    <row r="31" spans="1:8" s="35" customFormat="1" ht="15" customHeight="1" x14ac:dyDescent="0.25">
      <c r="A31" s="99" t="s">
        <v>974</v>
      </c>
      <c r="B31" s="315"/>
      <c r="C31" s="316"/>
      <c r="D31" s="265"/>
      <c r="E31" s="79"/>
      <c r="F31" s="34"/>
      <c r="G31" s="34"/>
      <c r="H31" s="45"/>
    </row>
    <row r="32" spans="1:8" s="35" customFormat="1" ht="15" customHeight="1" x14ac:dyDescent="0.25">
      <c r="A32" s="637" t="s">
        <v>975</v>
      </c>
      <c r="B32" s="315"/>
      <c r="C32" s="316"/>
      <c r="D32" s="265"/>
      <c r="E32" s="635">
        <v>0.75</v>
      </c>
      <c r="F32" s="34"/>
      <c r="G32" s="34"/>
      <c r="H32" s="45"/>
    </row>
    <row r="33" spans="1:8" s="35" customFormat="1" ht="15" customHeight="1" x14ac:dyDescent="0.25">
      <c r="A33" s="637" t="s">
        <v>976</v>
      </c>
      <c r="B33" s="315"/>
      <c r="C33" s="316"/>
      <c r="D33" s="265"/>
      <c r="E33" s="635">
        <v>0.5</v>
      </c>
      <c r="F33" s="34"/>
      <c r="G33" s="34"/>
      <c r="H33" s="45"/>
    </row>
    <row r="34" spans="1:8" s="35" customFormat="1" ht="15" customHeight="1" x14ac:dyDescent="0.25">
      <c r="A34" s="637" t="s">
        <v>977</v>
      </c>
      <c r="B34" s="315"/>
      <c r="C34" s="316"/>
      <c r="D34" s="265"/>
      <c r="E34" s="635">
        <v>0.5</v>
      </c>
      <c r="F34" s="34"/>
      <c r="G34" s="34"/>
      <c r="H34" s="45"/>
    </row>
    <row r="35" spans="1:8" s="35" customFormat="1" ht="15" customHeight="1" x14ac:dyDescent="0.25">
      <c r="A35" s="153" t="s">
        <v>834</v>
      </c>
      <c r="B35" s="315"/>
      <c r="C35" s="316"/>
      <c r="D35" s="265"/>
      <c r="E35" s="635">
        <v>0.75</v>
      </c>
      <c r="F35" s="34"/>
      <c r="G35" s="34"/>
      <c r="H35" s="45"/>
    </row>
    <row r="36" spans="1:8" s="35" customFormat="1" ht="15" customHeight="1" x14ac:dyDescent="0.25">
      <c r="A36" s="153" t="s">
        <v>838</v>
      </c>
      <c r="B36" s="315"/>
      <c r="C36" s="316"/>
      <c r="D36" s="265"/>
      <c r="E36" s="635">
        <v>0.5</v>
      </c>
      <c r="F36" s="34"/>
      <c r="G36" s="34"/>
      <c r="H36" s="45"/>
    </row>
    <row r="37" spans="1:8" s="35" customFormat="1" ht="15" customHeight="1" x14ac:dyDescent="0.25">
      <c r="A37" s="307"/>
      <c r="B37" s="34"/>
      <c r="C37" s="34"/>
      <c r="D37" s="34"/>
      <c r="E37" s="34"/>
      <c r="F37" s="34"/>
      <c r="G37" s="34"/>
      <c r="H37" s="45"/>
    </row>
    <row r="38" spans="1:8" customFormat="1" ht="30" customHeight="1" x14ac:dyDescent="0.25">
      <c r="A38" s="44" t="s">
        <v>343</v>
      </c>
      <c r="B38" s="81"/>
      <c r="C38" s="82"/>
      <c r="D38" s="82"/>
      <c r="E38" s="83"/>
      <c r="F38" s="50"/>
      <c r="G38" s="50"/>
      <c r="H38" s="54"/>
    </row>
    <row r="39" spans="1:8" s="156" customFormat="1" ht="15" customHeight="1" x14ac:dyDescent="0.2">
      <c r="A39" s="264"/>
      <c r="B39" s="177"/>
      <c r="C39" s="177"/>
      <c r="D39" s="177"/>
      <c r="E39" s="177"/>
      <c r="F39" s="177"/>
      <c r="G39" s="177"/>
      <c r="H39" s="155"/>
    </row>
    <row r="40" spans="1:8" s="156" customFormat="1" ht="15" customHeight="1" x14ac:dyDescent="0.2">
      <c r="A40" s="101" t="s">
        <v>37</v>
      </c>
      <c r="B40" s="315"/>
      <c r="C40" s="316"/>
      <c r="D40" s="265"/>
      <c r="E40" s="418" t="s">
        <v>196</v>
      </c>
      <c r="F40" s="177"/>
      <c r="G40" s="177"/>
      <c r="H40" s="155"/>
    </row>
    <row r="41" spans="1:8" s="156" customFormat="1" ht="15" customHeight="1" x14ac:dyDescent="0.2">
      <c r="A41" s="264"/>
      <c r="B41" s="177"/>
      <c r="C41" s="23"/>
      <c r="D41" s="177"/>
      <c r="E41" s="177"/>
      <c r="F41" s="177"/>
      <c r="G41" s="177"/>
      <c r="H41" s="155"/>
    </row>
    <row r="42" spans="1:8" s="156" customFormat="1" ht="15" customHeight="1" x14ac:dyDescent="0.2">
      <c r="A42" s="264"/>
      <c r="B42" s="177"/>
      <c r="C42" s="23"/>
      <c r="D42" s="177"/>
      <c r="E42" s="197" t="s">
        <v>678</v>
      </c>
      <c r="F42" s="177"/>
      <c r="G42" s="177"/>
      <c r="H42" s="155"/>
    </row>
    <row r="43" spans="1:8" s="156" customFormat="1" ht="15" customHeight="1" x14ac:dyDescent="0.2">
      <c r="A43" s="101" t="s">
        <v>23</v>
      </c>
      <c r="B43" s="315"/>
      <c r="C43" s="316"/>
      <c r="D43" s="265"/>
      <c r="E43" s="420">
        <v>0</v>
      </c>
      <c r="F43" s="177"/>
      <c r="G43" s="177"/>
      <c r="H43" s="155"/>
    </row>
    <row r="44" spans="1:8" s="156" customFormat="1" ht="15" customHeight="1" x14ac:dyDescent="0.2">
      <c r="A44" s="101" t="s">
        <v>978</v>
      </c>
      <c r="B44" s="315"/>
      <c r="C44" s="316"/>
      <c r="D44" s="265"/>
      <c r="E44" s="79"/>
      <c r="F44" s="177"/>
      <c r="G44" s="177"/>
      <c r="H44" s="155"/>
    </row>
    <row r="45" spans="1:8" s="156" customFormat="1" ht="15" customHeight="1" x14ac:dyDescent="0.2">
      <c r="A45" s="153" t="s">
        <v>701</v>
      </c>
      <c r="B45" s="315"/>
      <c r="C45" s="316"/>
      <c r="D45" s="265"/>
      <c r="E45" s="420">
        <v>0</v>
      </c>
      <c r="F45" s="177"/>
      <c r="G45" s="177"/>
      <c r="H45" s="155"/>
    </row>
    <row r="46" spans="1:8" s="156" customFormat="1" ht="15" customHeight="1" x14ac:dyDescent="0.2">
      <c r="A46" s="153" t="s">
        <v>702</v>
      </c>
      <c r="B46" s="315"/>
      <c r="C46" s="316"/>
      <c r="D46" s="265"/>
      <c r="E46" s="420">
        <v>0</v>
      </c>
      <c r="F46" s="177"/>
      <c r="G46" s="177"/>
      <c r="H46" s="155"/>
    </row>
    <row r="47" spans="1:8" s="156" customFormat="1" ht="15" customHeight="1" x14ac:dyDescent="0.2">
      <c r="A47" s="101" t="s">
        <v>24</v>
      </c>
      <c r="B47" s="315"/>
      <c r="C47" s="316"/>
      <c r="D47" s="265"/>
      <c r="E47" s="420">
        <v>0</v>
      </c>
      <c r="F47" s="177"/>
      <c r="G47" s="177"/>
      <c r="H47" s="155"/>
    </row>
    <row r="48" spans="1:8" customFormat="1" ht="45" customHeight="1" x14ac:dyDescent="0.25">
      <c r="A48" s="44" t="s">
        <v>344</v>
      </c>
      <c r="B48" s="81"/>
      <c r="C48" s="82"/>
      <c r="D48" s="82"/>
      <c r="E48" s="83"/>
      <c r="F48" s="50"/>
      <c r="G48" s="50"/>
      <c r="H48" s="54"/>
    </row>
    <row r="49" spans="1:8" customFormat="1" ht="15" customHeight="1" x14ac:dyDescent="0.25">
      <c r="A49" s="44"/>
      <c r="B49" s="81"/>
      <c r="C49" s="82"/>
      <c r="D49" s="82"/>
      <c r="E49" s="83"/>
      <c r="F49" s="50"/>
      <c r="G49" s="50"/>
      <c r="H49" s="54"/>
    </row>
    <row r="50" spans="1:8" s="156" customFormat="1" ht="60" customHeight="1" x14ac:dyDescent="0.2">
      <c r="A50" s="264"/>
      <c r="B50" s="177"/>
      <c r="C50" s="23"/>
      <c r="D50" s="23"/>
      <c r="E50" s="197" t="s">
        <v>34</v>
      </c>
      <c r="F50" s="197" t="s">
        <v>35</v>
      </c>
      <c r="G50" s="177"/>
      <c r="H50" s="155"/>
    </row>
    <row r="51" spans="1:8" s="156" customFormat="1" ht="15" customHeight="1" x14ac:dyDescent="0.2">
      <c r="A51" s="421" t="s">
        <v>712</v>
      </c>
      <c r="B51" s="558"/>
      <c r="C51" s="559"/>
      <c r="D51" s="560"/>
      <c r="E51" s="420">
        <v>0</v>
      </c>
      <c r="F51" s="420">
        <v>0</v>
      </c>
      <c r="G51" s="177"/>
      <c r="H51" s="155"/>
    </row>
    <row r="52" spans="1:8" s="156" customFormat="1" ht="15" customHeight="1" x14ac:dyDescent="0.2">
      <c r="A52" s="421" t="s">
        <v>713</v>
      </c>
      <c r="B52" s="561"/>
      <c r="C52" s="562"/>
      <c r="D52" s="563"/>
      <c r="E52" s="420">
        <v>0</v>
      </c>
      <c r="F52" s="420">
        <v>0</v>
      </c>
      <c r="G52" s="177"/>
      <c r="H52" s="155"/>
    </row>
    <row r="53" spans="1:8" s="156" customFormat="1" ht="15" customHeight="1" x14ac:dyDescent="0.2">
      <c r="A53" s="421" t="s">
        <v>714</v>
      </c>
      <c r="B53" s="564"/>
      <c r="C53" s="565"/>
      <c r="D53" s="566"/>
      <c r="E53" s="420">
        <v>0</v>
      </c>
      <c r="F53" s="420">
        <v>0</v>
      </c>
      <c r="G53" s="177"/>
      <c r="H53" s="155"/>
    </row>
    <row r="54" spans="1:8" s="156" customFormat="1" ht="15" customHeight="1" x14ac:dyDescent="0.2">
      <c r="A54" s="101" t="s">
        <v>36</v>
      </c>
      <c r="B54" s="317"/>
      <c r="C54" s="316"/>
      <c r="D54" s="157"/>
      <c r="E54" s="420">
        <v>0</v>
      </c>
      <c r="F54" s="420">
        <v>0</v>
      </c>
      <c r="G54" s="177"/>
      <c r="H54" s="155"/>
    </row>
    <row r="55" spans="1:8" customFormat="1" ht="45" customHeight="1" x14ac:dyDescent="0.25">
      <c r="A55" s="44" t="s">
        <v>345</v>
      </c>
      <c r="B55" s="81"/>
      <c r="C55" s="82"/>
      <c r="D55" s="82"/>
      <c r="E55" s="83"/>
      <c r="F55" s="50"/>
      <c r="G55" s="50"/>
      <c r="H55" s="54"/>
    </row>
    <row r="56" spans="1:8" s="156" customFormat="1" ht="15" customHeight="1" x14ac:dyDescent="0.2">
      <c r="A56" s="264"/>
      <c r="B56" s="177"/>
      <c r="C56" s="177"/>
      <c r="D56" s="177"/>
      <c r="E56" s="177"/>
      <c r="F56" s="177"/>
      <c r="G56" s="177"/>
      <c r="H56" s="155"/>
    </row>
    <row r="57" spans="1:8" s="156" customFormat="1" ht="15" customHeight="1" x14ac:dyDescent="0.2">
      <c r="A57" s="264"/>
      <c r="B57" s="177"/>
      <c r="C57" s="177"/>
      <c r="D57" s="23"/>
      <c r="E57" s="197" t="s">
        <v>678</v>
      </c>
      <c r="F57" s="177"/>
      <c r="G57" s="177"/>
      <c r="H57" s="155"/>
    </row>
    <row r="58" spans="1:8" s="156" customFormat="1" ht="15" customHeight="1" x14ac:dyDescent="0.2">
      <c r="A58" s="640" t="s">
        <v>903</v>
      </c>
      <c r="B58" s="641"/>
      <c r="C58" s="641"/>
      <c r="D58" s="157"/>
      <c r="E58" s="420">
        <v>0</v>
      </c>
      <c r="F58" s="177"/>
      <c r="G58" s="177"/>
      <c r="H58" s="155"/>
    </row>
    <row r="59" spans="1:8" s="156" customFormat="1" ht="15" customHeight="1" x14ac:dyDescent="0.2">
      <c r="A59" s="314" t="s">
        <v>528</v>
      </c>
      <c r="B59" s="315"/>
      <c r="C59" s="315"/>
      <c r="D59" s="157"/>
      <c r="E59" s="420">
        <v>0</v>
      </c>
      <c r="F59" s="177"/>
      <c r="G59" s="177"/>
      <c r="H59" s="155"/>
    </row>
    <row r="60" spans="1:8" s="156" customFormat="1" ht="15" customHeight="1" x14ac:dyDescent="0.2">
      <c r="A60" s="640" t="s">
        <v>904</v>
      </c>
      <c r="B60" s="641"/>
      <c r="C60" s="641"/>
      <c r="D60" s="642"/>
      <c r="E60" s="420">
        <v>0</v>
      </c>
      <c r="F60" s="177"/>
      <c r="G60" s="177"/>
      <c r="H60" s="155"/>
    </row>
    <row r="61" spans="1:8" s="156" customFormat="1" ht="15" customHeight="1" x14ac:dyDescent="0.2">
      <c r="A61" s="640" t="s">
        <v>905</v>
      </c>
      <c r="B61" s="641"/>
      <c r="C61" s="641"/>
      <c r="D61" s="642"/>
      <c r="E61" s="420">
        <v>0</v>
      </c>
      <c r="F61" s="177"/>
      <c r="G61" s="177"/>
      <c r="H61" s="155"/>
    </row>
    <row r="62" spans="1:8" s="156" customFormat="1" ht="15" customHeight="1" x14ac:dyDescent="0.2">
      <c r="A62" s="314" t="s">
        <v>11</v>
      </c>
      <c r="B62" s="315"/>
      <c r="C62" s="315"/>
      <c r="D62" s="157"/>
      <c r="E62" s="311"/>
      <c r="F62" s="177"/>
      <c r="G62" s="177"/>
      <c r="H62" s="155"/>
    </row>
    <row r="63" spans="1:8" s="156" customFormat="1" ht="15" customHeight="1" x14ac:dyDescent="0.2">
      <c r="A63" s="638" t="s">
        <v>12</v>
      </c>
      <c r="B63" s="315"/>
      <c r="C63" s="315"/>
      <c r="D63" s="157"/>
      <c r="E63" s="420">
        <v>0</v>
      </c>
      <c r="F63" s="177"/>
      <c r="G63" s="177"/>
      <c r="H63" s="155"/>
    </row>
    <row r="64" spans="1:8" s="156" customFormat="1" ht="15" customHeight="1" x14ac:dyDescent="0.2">
      <c r="A64" s="638" t="s">
        <v>13</v>
      </c>
      <c r="B64" s="315"/>
      <c r="C64" s="315"/>
      <c r="D64" s="157"/>
      <c r="E64" s="420">
        <v>0</v>
      </c>
      <c r="F64" s="177"/>
      <c r="G64" s="177"/>
      <c r="H64" s="155"/>
    </row>
    <row r="65" spans="1:9" s="156" customFormat="1" ht="15" customHeight="1" x14ac:dyDescent="0.2">
      <c r="A65" s="638" t="s">
        <v>771</v>
      </c>
      <c r="B65" s="315"/>
      <c r="C65" s="315"/>
      <c r="D65" s="157"/>
      <c r="E65" s="420">
        <v>0</v>
      </c>
      <c r="F65" s="177"/>
      <c r="G65" s="177"/>
      <c r="H65" s="155"/>
    </row>
    <row r="66" spans="1:9" s="156" customFormat="1" ht="15" customHeight="1" x14ac:dyDescent="0.2">
      <c r="A66" s="638" t="s">
        <v>14</v>
      </c>
      <c r="B66" s="315"/>
      <c r="C66" s="315"/>
      <c r="D66" s="157"/>
      <c r="E66" s="420">
        <v>0</v>
      </c>
      <c r="F66" s="177"/>
      <c r="G66" s="177"/>
      <c r="H66" s="155"/>
    </row>
    <row r="67" spans="1:9" s="156" customFormat="1" ht="15" customHeight="1" x14ac:dyDescent="0.2">
      <c r="A67" s="314" t="s">
        <v>15</v>
      </c>
      <c r="B67" s="315"/>
      <c r="C67" s="315"/>
      <c r="D67" s="157"/>
      <c r="E67" s="420">
        <v>0</v>
      </c>
      <c r="F67" s="177"/>
      <c r="G67" s="177"/>
      <c r="H67" s="155"/>
    </row>
    <row r="68" spans="1:9" s="156" customFormat="1" ht="15" customHeight="1" x14ac:dyDescent="0.2">
      <c r="A68" s="639" t="s">
        <v>906</v>
      </c>
      <c r="B68" s="315"/>
      <c r="C68" s="315"/>
      <c r="D68" s="157"/>
      <c r="E68" s="420">
        <v>0.5</v>
      </c>
      <c r="F68" s="177"/>
      <c r="G68" s="177"/>
      <c r="H68" s="155"/>
    </row>
    <row r="69" spans="1:9" customFormat="1" ht="15" customHeight="1" x14ac:dyDescent="0.25">
      <c r="A69" s="44" t="s">
        <v>346</v>
      </c>
      <c r="B69" s="81"/>
      <c r="C69" s="82"/>
      <c r="D69" s="82"/>
      <c r="E69" s="83"/>
      <c r="F69" s="50"/>
      <c r="G69" s="50"/>
      <c r="H69" s="54"/>
    </row>
    <row r="70" spans="1:9" s="156" customFormat="1" ht="15" customHeight="1" x14ac:dyDescent="0.2">
      <c r="A70" s="264"/>
      <c r="B70" s="177"/>
      <c r="C70" s="177"/>
      <c r="D70" s="177"/>
      <c r="E70" s="177"/>
      <c r="F70" s="177"/>
      <c r="G70" s="177"/>
      <c r="H70" s="155"/>
    </row>
    <row r="71" spans="1:9" s="156" customFormat="1" ht="15" customHeight="1" x14ac:dyDescent="0.2">
      <c r="A71" s="264"/>
      <c r="B71" s="177"/>
      <c r="C71" s="177"/>
      <c r="D71" s="23"/>
      <c r="E71" s="197" t="s">
        <v>678</v>
      </c>
      <c r="F71" s="177"/>
      <c r="G71" s="177"/>
      <c r="H71" s="155"/>
    </row>
    <row r="72" spans="1:9" s="156" customFormat="1" ht="15" customHeight="1" x14ac:dyDescent="0.2">
      <c r="A72" s="314" t="s">
        <v>52</v>
      </c>
      <c r="B72" s="315"/>
      <c r="C72" s="315"/>
      <c r="D72" s="157"/>
      <c r="E72" s="420">
        <v>0</v>
      </c>
      <c r="F72" s="177"/>
      <c r="G72" s="177"/>
      <c r="H72" s="155"/>
    </row>
    <row r="73" spans="1:9" s="156" customFormat="1" ht="15" customHeight="1" x14ac:dyDescent="0.2">
      <c r="A73" s="264"/>
      <c r="B73" s="177"/>
      <c r="C73" s="177"/>
      <c r="D73" s="177"/>
      <c r="E73" s="177"/>
      <c r="F73" s="177"/>
      <c r="G73" s="177"/>
      <c r="H73" s="155"/>
    </row>
    <row r="74" spans="1:9" customFormat="1" ht="30" customHeight="1" x14ac:dyDescent="0.25">
      <c r="A74" s="44" t="s">
        <v>347</v>
      </c>
      <c r="B74" s="81"/>
      <c r="C74" s="82"/>
      <c r="D74" s="82"/>
      <c r="E74" s="83"/>
      <c r="F74" s="50"/>
      <c r="G74" s="50"/>
      <c r="H74" s="54"/>
    </row>
    <row r="75" spans="1:9" s="156" customFormat="1" ht="15" customHeight="1" x14ac:dyDescent="0.2">
      <c r="A75" s="264"/>
      <c r="B75" s="177"/>
      <c r="C75" s="177"/>
      <c r="D75" s="177"/>
      <c r="E75" s="177"/>
      <c r="F75" s="177"/>
      <c r="G75" s="177"/>
      <c r="H75" s="155"/>
    </row>
    <row r="76" spans="1:9" s="156" customFormat="1" ht="15" customHeight="1" x14ac:dyDescent="0.2">
      <c r="A76" s="264"/>
      <c r="B76" s="177"/>
      <c r="C76" s="177"/>
      <c r="D76" s="23"/>
      <c r="E76" s="197" t="s">
        <v>678</v>
      </c>
      <c r="F76" s="177"/>
      <c r="G76" s="177"/>
      <c r="H76" s="155"/>
    </row>
    <row r="77" spans="1:9" s="156" customFormat="1" ht="15" customHeight="1" x14ac:dyDescent="0.2">
      <c r="A77" s="88" t="s">
        <v>1056</v>
      </c>
      <c r="B77" s="315"/>
      <c r="C77" s="315"/>
      <c r="D77" s="157"/>
      <c r="E77" s="420">
        <v>0</v>
      </c>
      <c r="F77" s="177"/>
      <c r="G77" s="177"/>
      <c r="H77" s="155"/>
      <c r="I77" s="732"/>
    </row>
    <row r="78" spans="1:9" s="156" customFormat="1" ht="15" customHeight="1" x14ac:dyDescent="0.2">
      <c r="A78" s="88" t="s">
        <v>1057</v>
      </c>
      <c r="B78" s="315"/>
      <c r="C78" s="315"/>
      <c r="D78" s="157"/>
      <c r="E78" s="420">
        <v>0</v>
      </c>
      <c r="F78" s="177"/>
      <c r="G78" s="177"/>
      <c r="H78" s="155"/>
      <c r="I78" s="732"/>
    </row>
    <row r="79" spans="1:9" s="156" customFormat="1" ht="15" customHeight="1" x14ac:dyDescent="0.2">
      <c r="A79" s="410" t="s">
        <v>529</v>
      </c>
      <c r="B79" s="315"/>
      <c r="C79" s="315"/>
      <c r="D79" s="157"/>
      <c r="E79" s="420">
        <v>0</v>
      </c>
      <c r="F79" s="177"/>
      <c r="G79" s="177"/>
      <c r="H79" s="155"/>
    </row>
    <row r="80" spans="1:9" s="156" customFormat="1" ht="15" customHeight="1" x14ac:dyDescent="0.2">
      <c r="A80" s="410" t="s">
        <v>530</v>
      </c>
      <c r="B80" s="315"/>
      <c r="C80" s="315"/>
      <c r="D80" s="157"/>
      <c r="E80" s="420">
        <v>0</v>
      </c>
      <c r="F80" s="177"/>
      <c r="G80" s="177"/>
      <c r="H80" s="155"/>
    </row>
    <row r="81" spans="1:8" s="156" customFormat="1" ht="15" customHeight="1" x14ac:dyDescent="0.2">
      <c r="A81" s="410" t="s">
        <v>531</v>
      </c>
      <c r="B81" s="315"/>
      <c r="C81" s="315"/>
      <c r="D81" s="157"/>
      <c r="E81" s="420">
        <v>0</v>
      </c>
      <c r="F81" s="177"/>
      <c r="G81" s="177"/>
      <c r="H81" s="155"/>
    </row>
    <row r="82" spans="1:8" s="156" customFormat="1" ht="15" customHeight="1" x14ac:dyDescent="0.2">
      <c r="A82" s="410" t="s">
        <v>770</v>
      </c>
      <c r="B82" s="315"/>
      <c r="C82" s="315"/>
      <c r="D82" s="157"/>
      <c r="E82" s="311"/>
      <c r="F82" s="177"/>
      <c r="G82" s="177"/>
      <c r="H82" s="155"/>
    </row>
    <row r="83" spans="1:8" s="156" customFormat="1" ht="15" customHeight="1" x14ac:dyDescent="0.2">
      <c r="A83" s="411" t="s">
        <v>527</v>
      </c>
      <c r="B83" s="315"/>
      <c r="C83" s="315"/>
      <c r="D83" s="157"/>
      <c r="E83" s="420">
        <v>0</v>
      </c>
      <c r="F83" s="177"/>
      <c r="G83" s="177"/>
      <c r="H83" s="155"/>
    </row>
    <row r="84" spans="1:8" s="156" customFormat="1" ht="15" customHeight="1" x14ac:dyDescent="0.2">
      <c r="A84" s="411" t="s">
        <v>13</v>
      </c>
      <c r="B84" s="315"/>
      <c r="C84" s="315"/>
      <c r="D84" s="157"/>
      <c r="E84" s="420">
        <v>0</v>
      </c>
      <c r="F84" s="177"/>
      <c r="G84" s="177"/>
      <c r="H84" s="155"/>
    </row>
    <row r="85" spans="1:8" s="156" customFormat="1" ht="15" customHeight="1" x14ac:dyDescent="0.2">
      <c r="A85" s="411" t="s">
        <v>771</v>
      </c>
      <c r="B85" s="315"/>
      <c r="C85" s="315"/>
      <c r="D85" s="157"/>
      <c r="E85" s="420">
        <v>0</v>
      </c>
      <c r="F85" s="177"/>
      <c r="G85" s="177"/>
      <c r="H85" s="155"/>
    </row>
    <row r="86" spans="1:8" s="156" customFormat="1" ht="15" customHeight="1" x14ac:dyDescent="0.2">
      <c r="A86" s="411" t="s">
        <v>14</v>
      </c>
      <c r="B86" s="315"/>
      <c r="C86" s="315"/>
      <c r="D86" s="157"/>
      <c r="E86" s="420">
        <v>0</v>
      </c>
      <c r="F86" s="177"/>
      <c r="G86" s="177"/>
      <c r="H86" s="155"/>
    </row>
    <row r="87" spans="1:8" s="156" customFormat="1" ht="15" customHeight="1" x14ac:dyDescent="0.2">
      <c r="A87" s="104" t="s">
        <v>260</v>
      </c>
      <c r="B87" s="315"/>
      <c r="C87" s="315"/>
      <c r="D87" s="157"/>
      <c r="E87" s="420">
        <v>0</v>
      </c>
      <c r="F87" s="177"/>
      <c r="G87" s="177"/>
      <c r="H87" s="155"/>
    </row>
    <row r="88" spans="1:8" s="156" customFormat="1" ht="15" customHeight="1" x14ac:dyDescent="0.2">
      <c r="A88" s="264"/>
      <c r="B88" s="177"/>
      <c r="C88" s="177"/>
      <c r="D88" s="177"/>
      <c r="E88" s="177"/>
      <c r="F88" s="177"/>
      <c r="G88" s="177"/>
      <c r="H88" s="155"/>
    </row>
    <row r="89" spans="1:8" s="35" customFormat="1" ht="15" customHeight="1" x14ac:dyDescent="0.25">
      <c r="A89" s="43" t="s">
        <v>748</v>
      </c>
      <c r="B89" s="37"/>
      <c r="C89" s="37"/>
      <c r="D89" s="37"/>
      <c r="E89" s="37"/>
      <c r="F89" s="37"/>
      <c r="G89" s="37"/>
      <c r="H89" s="38"/>
    </row>
    <row r="90" spans="1:8" s="156" customFormat="1" ht="15" customHeight="1" x14ac:dyDescent="0.2">
      <c r="A90" s="162"/>
      <c r="B90" s="15"/>
      <c r="C90" s="15"/>
      <c r="D90" s="15"/>
      <c r="E90" s="15"/>
      <c r="F90" s="15"/>
      <c r="G90" s="15"/>
      <c r="H90" s="155"/>
    </row>
    <row r="91" spans="1:8" s="156" customFormat="1" ht="15" customHeight="1" x14ac:dyDescent="0.2">
      <c r="A91" s="163" t="s">
        <v>203</v>
      </c>
      <c r="B91" s="163" t="s">
        <v>204</v>
      </c>
      <c r="C91" s="882" t="s">
        <v>205</v>
      </c>
      <c r="D91" s="883"/>
      <c r="E91" s="884"/>
      <c r="F91" s="21" t="s">
        <v>206</v>
      </c>
      <c r="G91" s="21" t="s">
        <v>200</v>
      </c>
      <c r="H91" s="155"/>
    </row>
    <row r="92" spans="1:8" s="156" customFormat="1" ht="15" customHeight="1" x14ac:dyDescent="0.2">
      <c r="A92" s="164" t="s">
        <v>578</v>
      </c>
      <c r="B92" s="100">
        <v>1</v>
      </c>
      <c r="C92" s="165" t="str">
        <f t="shared" ref="C92:C97" si="0">A92</f>
        <v>General Info</v>
      </c>
      <c r="D92" s="166"/>
      <c r="E92" s="167"/>
      <c r="F92" s="546"/>
      <c r="G92" s="548"/>
      <c r="H92" s="155"/>
    </row>
    <row r="93" spans="1:8" s="156" customFormat="1" ht="15" customHeight="1" x14ac:dyDescent="0.2">
      <c r="A93" s="375" t="s">
        <v>136</v>
      </c>
      <c r="B93" s="100">
        <f t="shared" ref="B93:B117" si="1">B92+1</f>
        <v>2</v>
      </c>
      <c r="C93" s="165" t="str">
        <f t="shared" si="0"/>
        <v>DefCapB3</v>
      </c>
      <c r="D93" s="166"/>
      <c r="E93" s="167"/>
      <c r="F93" s="549"/>
      <c r="G93" s="551"/>
      <c r="H93" s="155"/>
    </row>
    <row r="94" spans="1:8" s="156" customFormat="1" ht="15" customHeight="1" x14ac:dyDescent="0.2">
      <c r="A94" s="375" t="s">
        <v>137</v>
      </c>
      <c r="B94" s="100">
        <f t="shared" si="1"/>
        <v>3</v>
      </c>
      <c r="C94" s="165" t="str">
        <f t="shared" si="0"/>
        <v>DefCapB3-MI</v>
      </c>
      <c r="D94" s="166"/>
      <c r="E94" s="167"/>
      <c r="F94" s="549"/>
      <c r="G94" s="551"/>
      <c r="H94" s="155"/>
    </row>
    <row r="95" spans="1:8" s="156" customFormat="1" ht="15" customHeight="1" x14ac:dyDescent="0.2">
      <c r="A95" s="375" t="s">
        <v>138</v>
      </c>
      <c r="B95" s="100">
        <f t="shared" si="1"/>
        <v>4</v>
      </c>
      <c r="C95" s="165" t="str">
        <f t="shared" si="0"/>
        <v>Leverage Ratio</v>
      </c>
      <c r="D95" s="166"/>
      <c r="E95" s="167"/>
      <c r="F95" s="549"/>
      <c r="G95" s="551"/>
      <c r="H95" s="155"/>
    </row>
    <row r="96" spans="1:8" s="156" customFormat="1" ht="15" customHeight="1" x14ac:dyDescent="0.2">
      <c r="A96" s="164" t="s">
        <v>677</v>
      </c>
      <c r="B96" s="100">
        <f t="shared" si="1"/>
        <v>5</v>
      </c>
      <c r="C96" s="165" t="str">
        <f t="shared" si="0"/>
        <v>LCR</v>
      </c>
      <c r="D96" s="166"/>
      <c r="E96" s="167"/>
      <c r="F96" s="549"/>
      <c r="G96" s="551"/>
      <c r="H96" s="155"/>
    </row>
    <row r="97" spans="1:8" s="156" customFormat="1" ht="15" customHeight="1" x14ac:dyDescent="0.2">
      <c r="A97" s="164" t="s">
        <v>70</v>
      </c>
      <c r="B97" s="100">
        <f t="shared" si="1"/>
        <v>6</v>
      </c>
      <c r="C97" s="165" t="str">
        <f t="shared" si="0"/>
        <v>NSFR</v>
      </c>
      <c r="D97" s="166"/>
      <c r="E97" s="167"/>
      <c r="F97" s="549"/>
      <c r="G97" s="551"/>
      <c r="H97" s="155"/>
    </row>
    <row r="98" spans="1:8" s="156" customFormat="1" ht="15" customHeight="1" x14ac:dyDescent="0.2">
      <c r="A98" s="164" t="s">
        <v>301</v>
      </c>
      <c r="B98" s="100">
        <f t="shared" si="1"/>
        <v>7</v>
      </c>
      <c r="C98" s="165" t="str">
        <f>A98</f>
        <v>Checks</v>
      </c>
      <c r="D98" s="166"/>
      <c r="E98" s="167"/>
      <c r="F98" s="549"/>
      <c r="G98" s="551"/>
      <c r="H98" s="155"/>
    </row>
    <row r="99" spans="1:8" s="156" customFormat="1" ht="15" customHeight="1" x14ac:dyDescent="0.2">
      <c r="A99" s="168"/>
      <c r="B99" s="100">
        <f t="shared" si="1"/>
        <v>8</v>
      </c>
      <c r="C99" s="169"/>
      <c r="D99" s="169"/>
      <c r="E99" s="170"/>
      <c r="F99" s="549"/>
      <c r="G99" s="551"/>
      <c r="H99" s="155"/>
    </row>
    <row r="100" spans="1:8" s="156" customFormat="1" ht="15" customHeight="1" x14ac:dyDescent="0.2">
      <c r="A100" s="168"/>
      <c r="B100" s="100">
        <f t="shared" si="1"/>
        <v>9</v>
      </c>
      <c r="C100" s="169"/>
      <c r="D100" s="169"/>
      <c r="E100" s="170"/>
      <c r="F100" s="549"/>
      <c r="G100" s="551"/>
      <c r="H100" s="155"/>
    </row>
    <row r="101" spans="1:8" s="156" customFormat="1" ht="15" customHeight="1" x14ac:dyDescent="0.2">
      <c r="A101" s="168"/>
      <c r="B101" s="100">
        <f t="shared" si="1"/>
        <v>10</v>
      </c>
      <c r="C101" s="169"/>
      <c r="D101" s="169"/>
      <c r="E101" s="170"/>
      <c r="F101" s="549"/>
      <c r="G101" s="551"/>
      <c r="H101" s="155"/>
    </row>
    <row r="102" spans="1:8" s="156" customFormat="1" ht="15" customHeight="1" x14ac:dyDescent="0.2">
      <c r="A102" s="168"/>
      <c r="B102" s="100">
        <f t="shared" si="1"/>
        <v>11</v>
      </c>
      <c r="C102" s="169"/>
      <c r="D102" s="169"/>
      <c r="E102" s="170"/>
      <c r="F102" s="549"/>
      <c r="G102" s="551"/>
      <c r="H102" s="155"/>
    </row>
    <row r="103" spans="1:8" s="156" customFormat="1" ht="15" customHeight="1" x14ac:dyDescent="0.2">
      <c r="A103" s="168"/>
      <c r="B103" s="100">
        <f t="shared" si="1"/>
        <v>12</v>
      </c>
      <c r="C103" s="169"/>
      <c r="D103" s="169"/>
      <c r="E103" s="170"/>
      <c r="F103" s="549"/>
      <c r="G103" s="551"/>
      <c r="H103" s="155"/>
    </row>
    <row r="104" spans="1:8" s="156" customFormat="1" ht="15" customHeight="1" x14ac:dyDescent="0.2">
      <c r="A104" s="168"/>
      <c r="B104" s="100">
        <f t="shared" si="1"/>
        <v>13</v>
      </c>
      <c r="C104" s="169"/>
      <c r="D104" s="169"/>
      <c r="E104" s="170"/>
      <c r="F104" s="549"/>
      <c r="G104" s="551"/>
      <c r="H104" s="155"/>
    </row>
    <row r="105" spans="1:8" s="156" customFormat="1" ht="15" customHeight="1" x14ac:dyDescent="0.2">
      <c r="A105" s="168"/>
      <c r="B105" s="100">
        <f t="shared" si="1"/>
        <v>14</v>
      </c>
      <c r="C105" s="169"/>
      <c r="D105" s="169"/>
      <c r="E105" s="170"/>
      <c r="F105" s="549"/>
      <c r="G105" s="551"/>
      <c r="H105" s="155"/>
    </row>
    <row r="106" spans="1:8" s="156" customFormat="1" ht="15" customHeight="1" x14ac:dyDescent="0.2">
      <c r="A106" s="168"/>
      <c r="B106" s="100">
        <f t="shared" si="1"/>
        <v>15</v>
      </c>
      <c r="C106" s="169"/>
      <c r="D106" s="169"/>
      <c r="E106" s="170"/>
      <c r="F106" s="549"/>
      <c r="G106" s="551"/>
      <c r="H106" s="155"/>
    </row>
    <row r="107" spans="1:8" s="156" customFormat="1" ht="15" customHeight="1" x14ac:dyDescent="0.2">
      <c r="A107" s="168"/>
      <c r="B107" s="100">
        <f t="shared" si="1"/>
        <v>16</v>
      </c>
      <c r="C107" s="169"/>
      <c r="D107" s="169"/>
      <c r="E107" s="170"/>
      <c r="F107" s="549"/>
      <c r="G107" s="551"/>
      <c r="H107" s="155"/>
    </row>
    <row r="108" spans="1:8" s="156" customFormat="1" ht="15" customHeight="1" x14ac:dyDescent="0.2">
      <c r="A108" s="168"/>
      <c r="B108" s="100">
        <f t="shared" si="1"/>
        <v>17</v>
      </c>
      <c r="C108" s="169"/>
      <c r="D108" s="169"/>
      <c r="E108" s="170"/>
      <c r="F108" s="549"/>
      <c r="G108" s="551"/>
      <c r="H108" s="155"/>
    </row>
    <row r="109" spans="1:8" s="156" customFormat="1" ht="15" customHeight="1" x14ac:dyDescent="0.2">
      <c r="A109" s="168"/>
      <c r="B109" s="100">
        <f>B108+1</f>
        <v>18</v>
      </c>
      <c r="C109" s="169"/>
      <c r="D109" s="169"/>
      <c r="E109" s="170"/>
      <c r="F109" s="549"/>
      <c r="G109" s="551"/>
      <c r="H109" s="155"/>
    </row>
    <row r="110" spans="1:8" s="156" customFormat="1" ht="15" customHeight="1" x14ac:dyDescent="0.2">
      <c r="A110" s="168"/>
      <c r="B110" s="100">
        <f t="shared" si="1"/>
        <v>19</v>
      </c>
      <c r="C110" s="169"/>
      <c r="D110" s="169"/>
      <c r="E110" s="170"/>
      <c r="F110" s="549"/>
      <c r="G110" s="551"/>
      <c r="H110" s="155"/>
    </row>
    <row r="111" spans="1:8" s="156" customFormat="1" ht="15" customHeight="1" x14ac:dyDescent="0.2">
      <c r="A111" s="168"/>
      <c r="B111" s="100">
        <f t="shared" si="1"/>
        <v>20</v>
      </c>
      <c r="C111" s="169"/>
      <c r="D111" s="169"/>
      <c r="E111" s="170"/>
      <c r="F111" s="549"/>
      <c r="G111" s="551"/>
      <c r="H111" s="155"/>
    </row>
    <row r="112" spans="1:8" s="156" customFormat="1" ht="15" customHeight="1" x14ac:dyDescent="0.2">
      <c r="A112" s="168"/>
      <c r="B112" s="100">
        <f t="shared" si="1"/>
        <v>21</v>
      </c>
      <c r="C112" s="169"/>
      <c r="D112" s="169"/>
      <c r="E112" s="170"/>
      <c r="F112" s="549"/>
      <c r="G112" s="551"/>
      <c r="H112" s="155"/>
    </row>
    <row r="113" spans="1:8" s="156" customFormat="1" ht="15" customHeight="1" x14ac:dyDescent="0.2">
      <c r="A113" s="168"/>
      <c r="B113" s="100">
        <f t="shared" si="1"/>
        <v>22</v>
      </c>
      <c r="C113" s="169"/>
      <c r="D113" s="169"/>
      <c r="E113" s="170"/>
      <c r="F113" s="549"/>
      <c r="G113" s="551"/>
      <c r="H113" s="155"/>
    </row>
    <row r="114" spans="1:8" s="156" customFormat="1" ht="15" customHeight="1" x14ac:dyDescent="0.2">
      <c r="A114" s="168"/>
      <c r="B114" s="100">
        <f t="shared" si="1"/>
        <v>23</v>
      </c>
      <c r="C114" s="169"/>
      <c r="D114" s="169"/>
      <c r="E114" s="170"/>
      <c r="F114" s="549"/>
      <c r="G114" s="551"/>
      <c r="H114" s="155"/>
    </row>
    <row r="115" spans="1:8" s="156" customFormat="1" ht="15" customHeight="1" x14ac:dyDescent="0.2">
      <c r="A115" s="168"/>
      <c r="B115" s="100">
        <f t="shared" si="1"/>
        <v>24</v>
      </c>
      <c r="C115" s="169"/>
      <c r="D115" s="169"/>
      <c r="E115" s="170"/>
      <c r="F115" s="549"/>
      <c r="G115" s="551"/>
      <c r="H115" s="155"/>
    </row>
    <row r="116" spans="1:8" s="156" customFormat="1" ht="15" customHeight="1" x14ac:dyDescent="0.2">
      <c r="A116" s="168"/>
      <c r="B116" s="100">
        <f t="shared" si="1"/>
        <v>25</v>
      </c>
      <c r="C116" s="169"/>
      <c r="D116" s="169"/>
      <c r="E116" s="170"/>
      <c r="F116" s="549"/>
      <c r="G116" s="551"/>
      <c r="H116" s="155"/>
    </row>
    <row r="117" spans="1:8" s="156" customFormat="1" ht="15" customHeight="1" x14ac:dyDescent="0.2">
      <c r="A117" s="168"/>
      <c r="B117" s="100">
        <f t="shared" si="1"/>
        <v>26</v>
      </c>
      <c r="C117" s="169"/>
      <c r="D117" s="169"/>
      <c r="E117" s="170"/>
      <c r="F117" s="554"/>
      <c r="G117" s="553"/>
      <c r="H117" s="155"/>
    </row>
    <row r="118" spans="1:8" s="156" customFormat="1" ht="15" customHeight="1" x14ac:dyDescent="0.2">
      <c r="A118" s="152"/>
      <c r="B118" s="138"/>
      <c r="C118" s="138"/>
      <c r="D118" s="138"/>
      <c r="E118" s="138"/>
      <c r="F118" s="138"/>
      <c r="G118" s="138"/>
      <c r="H118" s="161"/>
    </row>
    <row r="119" spans="1:8" s="35" customFormat="1" ht="15" customHeight="1" x14ac:dyDescent="0.25">
      <c r="A119" s="43" t="s">
        <v>749</v>
      </c>
      <c r="B119" s="37"/>
      <c r="C119" s="37"/>
      <c r="D119" s="37"/>
      <c r="E119" s="37"/>
      <c r="F119" s="37"/>
      <c r="G119" s="37"/>
      <c r="H119" s="38"/>
    </row>
    <row r="120" spans="1:8" s="156" customFormat="1" ht="15" customHeight="1" x14ac:dyDescent="0.2">
      <c r="A120" s="162"/>
      <c r="B120" s="15"/>
      <c r="C120" s="15"/>
      <c r="D120" s="15"/>
      <c r="E120" s="15"/>
      <c r="F120" s="15"/>
      <c r="G120" s="15"/>
      <c r="H120" s="171"/>
    </row>
    <row r="121" spans="1:8" s="156" customFormat="1" ht="15" customHeight="1" x14ac:dyDescent="0.2">
      <c r="A121" s="172" t="s">
        <v>207</v>
      </c>
      <c r="B121" s="173">
        <v>1</v>
      </c>
      <c r="C121" s="174" t="s">
        <v>195</v>
      </c>
      <c r="D121" s="175"/>
      <c r="E121" s="176"/>
      <c r="F121" s="177"/>
      <c r="G121" s="177"/>
      <c r="H121" s="155"/>
    </row>
    <row r="122" spans="1:8" s="156" customFormat="1" ht="15" customHeight="1" x14ac:dyDescent="0.2">
      <c r="A122" s="178"/>
      <c r="B122" s="173">
        <v>2</v>
      </c>
      <c r="C122" s="104" t="s">
        <v>196</v>
      </c>
      <c r="D122" s="179"/>
      <c r="E122" s="180"/>
      <c r="F122" s="177"/>
      <c r="G122" s="177"/>
      <c r="H122" s="155"/>
    </row>
    <row r="123" spans="1:8" s="156" customFormat="1" ht="15" customHeight="1" x14ac:dyDescent="0.2">
      <c r="A123" s="163" t="s">
        <v>148</v>
      </c>
      <c r="B123" s="181">
        <v>3</v>
      </c>
      <c r="C123" s="104"/>
      <c r="D123" s="179"/>
      <c r="E123" s="180"/>
      <c r="F123" s="177"/>
      <c r="G123" s="177"/>
      <c r="H123" s="155"/>
    </row>
    <row r="124" spans="1:8" s="156" customFormat="1" ht="15" customHeight="1" x14ac:dyDescent="0.2">
      <c r="A124" s="172" t="s">
        <v>568</v>
      </c>
      <c r="B124" s="173">
        <v>1</v>
      </c>
      <c r="C124" s="104">
        <v>1</v>
      </c>
      <c r="D124" s="179"/>
      <c r="E124" s="180"/>
      <c r="F124" s="177"/>
      <c r="G124" s="177"/>
      <c r="H124" s="155"/>
    </row>
    <row r="125" spans="1:8" s="156" customFormat="1" ht="15" customHeight="1" x14ac:dyDescent="0.2">
      <c r="A125" s="178"/>
      <c r="B125" s="181">
        <v>2</v>
      </c>
      <c r="C125" s="104">
        <v>2</v>
      </c>
      <c r="D125" s="179"/>
      <c r="E125" s="180"/>
      <c r="F125" s="177"/>
      <c r="G125" s="177"/>
      <c r="H125" s="155"/>
    </row>
    <row r="126" spans="1:8" s="156" customFormat="1" ht="15" customHeight="1" x14ac:dyDescent="0.2">
      <c r="A126" s="182" t="s">
        <v>620</v>
      </c>
      <c r="B126" s="173">
        <v>1</v>
      </c>
      <c r="C126" s="174" t="s">
        <v>621</v>
      </c>
      <c r="D126" s="175"/>
      <c r="E126" s="176"/>
      <c r="F126" s="177"/>
      <c r="G126" s="177"/>
      <c r="H126" s="155"/>
    </row>
    <row r="127" spans="1:8" s="156" customFormat="1" ht="15" customHeight="1" x14ac:dyDescent="0.2">
      <c r="A127" s="183"/>
      <c r="B127" s="173">
        <v>2</v>
      </c>
      <c r="C127" s="174" t="s">
        <v>622</v>
      </c>
      <c r="D127" s="175"/>
      <c r="E127" s="176"/>
      <c r="F127" s="177"/>
      <c r="G127" s="177"/>
      <c r="H127" s="155"/>
    </row>
    <row r="128" spans="1:8" s="156" customFormat="1" ht="15" customHeight="1" x14ac:dyDescent="0.2">
      <c r="A128" s="183"/>
      <c r="B128" s="173">
        <v>3</v>
      </c>
      <c r="C128" s="174" t="s">
        <v>623</v>
      </c>
      <c r="D128" s="175"/>
      <c r="E128" s="176"/>
      <c r="F128" s="177"/>
      <c r="G128" s="177"/>
      <c r="H128" s="155"/>
    </row>
    <row r="129" spans="1:8" s="156" customFormat="1" ht="15" customHeight="1" x14ac:dyDescent="0.2">
      <c r="A129" s="172" t="s">
        <v>110</v>
      </c>
      <c r="B129" s="173">
        <v>1</v>
      </c>
      <c r="C129" s="174" t="s">
        <v>624</v>
      </c>
      <c r="D129" s="175"/>
      <c r="E129" s="176"/>
      <c r="F129" s="177"/>
      <c r="G129" s="177"/>
      <c r="H129" s="155"/>
    </row>
    <row r="130" spans="1:8" s="156" customFormat="1" ht="15" customHeight="1" x14ac:dyDescent="0.2">
      <c r="A130" s="183"/>
      <c r="B130" s="173">
        <v>2</v>
      </c>
      <c r="C130" s="174" t="s">
        <v>108</v>
      </c>
      <c r="D130" s="175"/>
      <c r="E130" s="176"/>
      <c r="F130" s="177"/>
      <c r="G130" s="177"/>
      <c r="H130" s="155"/>
    </row>
    <row r="131" spans="1:8" s="156" customFormat="1" ht="15" customHeight="1" x14ac:dyDescent="0.2">
      <c r="A131" s="183"/>
      <c r="B131" s="173">
        <v>3</v>
      </c>
      <c r="C131" s="104" t="s">
        <v>109</v>
      </c>
      <c r="D131" s="179"/>
      <c r="E131" s="180"/>
      <c r="F131" s="177"/>
      <c r="G131" s="177"/>
      <c r="H131" s="155"/>
    </row>
    <row r="132" spans="1:8" s="156" customFormat="1" ht="15" customHeight="1" x14ac:dyDescent="0.2">
      <c r="A132" s="152"/>
      <c r="B132" s="100">
        <v>4</v>
      </c>
      <c r="C132" s="104" t="s">
        <v>623</v>
      </c>
      <c r="D132" s="179"/>
      <c r="E132" s="180"/>
      <c r="F132" s="177"/>
      <c r="G132" s="177"/>
      <c r="H132" s="155"/>
    </row>
    <row r="133" spans="1:8" s="156" customFormat="1" ht="15" customHeight="1" x14ac:dyDescent="0.2">
      <c r="A133" s="172" t="s">
        <v>213</v>
      </c>
      <c r="B133" s="173">
        <v>0</v>
      </c>
      <c r="C133" s="174"/>
      <c r="D133" s="175"/>
      <c r="E133" s="176"/>
      <c r="F133" s="177"/>
      <c r="G133" s="177"/>
      <c r="H133" s="155"/>
    </row>
    <row r="134" spans="1:8" s="156" customFormat="1" ht="15" customHeight="1" x14ac:dyDescent="0.2">
      <c r="A134" s="182"/>
      <c r="B134" s="173">
        <v>1</v>
      </c>
      <c r="C134" s="174" t="s">
        <v>614</v>
      </c>
      <c r="D134" s="175"/>
      <c r="E134" s="176"/>
      <c r="F134" s="177"/>
      <c r="G134" s="177"/>
      <c r="H134" s="155"/>
    </row>
    <row r="135" spans="1:8" s="156" customFormat="1" ht="15" customHeight="1" x14ac:dyDescent="0.2">
      <c r="A135" s="183"/>
      <c r="B135" s="173">
        <v>2</v>
      </c>
      <c r="C135" s="174" t="s">
        <v>615</v>
      </c>
      <c r="D135" s="175"/>
      <c r="E135" s="176"/>
      <c r="F135" s="177"/>
      <c r="G135" s="177"/>
      <c r="H135" s="155"/>
    </row>
    <row r="136" spans="1:8" s="156" customFormat="1" ht="15" customHeight="1" x14ac:dyDescent="0.2">
      <c r="A136" s="183"/>
      <c r="B136" s="173">
        <v>3</v>
      </c>
      <c r="C136" s="104" t="s">
        <v>616</v>
      </c>
      <c r="D136" s="179"/>
      <c r="E136" s="180"/>
      <c r="F136" s="177"/>
      <c r="G136" s="177"/>
      <c r="H136" s="155"/>
    </row>
    <row r="137" spans="1:8" s="156" customFormat="1" ht="15" customHeight="1" x14ac:dyDescent="0.2">
      <c r="A137" s="152"/>
      <c r="B137" s="100">
        <v>4</v>
      </c>
      <c r="C137" s="104" t="s">
        <v>617</v>
      </c>
      <c r="D137" s="179"/>
      <c r="E137" s="180"/>
      <c r="F137" s="177"/>
      <c r="G137" s="177"/>
      <c r="H137" s="155"/>
    </row>
    <row r="138" spans="1:8" s="156" customFormat="1" ht="15" customHeight="1" x14ac:dyDescent="0.2">
      <c r="A138" s="172" t="s">
        <v>592</v>
      </c>
      <c r="B138" s="173">
        <v>1</v>
      </c>
      <c r="C138" s="174" t="s">
        <v>197</v>
      </c>
      <c r="D138" s="175"/>
      <c r="E138" s="176"/>
      <c r="F138" s="177"/>
      <c r="G138" s="177"/>
      <c r="H138" s="155"/>
    </row>
    <row r="139" spans="1:8" s="156" customFormat="1" ht="15" customHeight="1" x14ac:dyDescent="0.2">
      <c r="A139" s="178"/>
      <c r="B139" s="181">
        <v>2</v>
      </c>
      <c r="C139" s="104" t="s">
        <v>593</v>
      </c>
      <c r="D139" s="179"/>
      <c r="E139" s="180"/>
      <c r="F139" s="177"/>
      <c r="G139" s="177"/>
      <c r="H139" s="155"/>
    </row>
    <row r="140" spans="1:8" s="156" customFormat="1" ht="15" customHeight="1" x14ac:dyDescent="0.2">
      <c r="A140" s="172" t="s">
        <v>40</v>
      </c>
      <c r="B140" s="173">
        <v>0</v>
      </c>
      <c r="C140" s="104"/>
      <c r="D140" s="179"/>
      <c r="E140" s="180"/>
      <c r="F140" s="264"/>
      <c r="G140" s="177"/>
      <c r="H140" s="155"/>
    </row>
    <row r="141" spans="1:8" ht="15" customHeight="1" x14ac:dyDescent="0.2">
      <c r="A141" s="182"/>
      <c r="B141" s="173">
        <v>1</v>
      </c>
      <c r="C141" s="104" t="s">
        <v>41</v>
      </c>
      <c r="D141" s="179"/>
      <c r="E141" s="180"/>
      <c r="F141" s="29"/>
      <c r="G141" s="29"/>
      <c r="H141" s="30"/>
    </row>
    <row r="142" spans="1:8" ht="15" customHeight="1" x14ac:dyDescent="0.2">
      <c r="A142" s="183"/>
      <c r="B142" s="173">
        <v>2</v>
      </c>
      <c r="C142" s="104" t="s">
        <v>42</v>
      </c>
      <c r="D142" s="179"/>
      <c r="E142" s="180"/>
      <c r="F142" s="29"/>
      <c r="G142" s="29"/>
      <c r="H142" s="30"/>
    </row>
    <row r="143" spans="1:8" ht="15" customHeight="1" x14ac:dyDescent="0.2">
      <c r="A143" s="178"/>
      <c r="B143" s="181">
        <v>3</v>
      </c>
      <c r="C143" s="104" t="s">
        <v>43</v>
      </c>
      <c r="D143" s="179"/>
      <c r="E143" s="180"/>
      <c r="F143" s="29"/>
      <c r="G143" s="29"/>
      <c r="H143" s="30"/>
    </row>
    <row r="144" spans="1:8" ht="15" customHeight="1" x14ac:dyDescent="0.2">
      <c r="A144" s="182" t="s">
        <v>193</v>
      </c>
      <c r="B144" s="173">
        <v>1</v>
      </c>
      <c r="C144" s="174" t="s">
        <v>746</v>
      </c>
      <c r="D144" s="175"/>
      <c r="E144" s="176"/>
      <c r="F144" s="29"/>
      <c r="G144" s="29"/>
      <c r="H144" s="30"/>
    </row>
    <row r="145" spans="1:8" ht="15" customHeight="1" x14ac:dyDescent="0.2">
      <c r="A145" s="183"/>
      <c r="B145" s="173">
        <v>2</v>
      </c>
      <c r="C145" s="174" t="s">
        <v>745</v>
      </c>
      <c r="D145" s="175"/>
      <c r="E145" s="176"/>
      <c r="F145" s="29"/>
      <c r="G145" s="29"/>
      <c r="H145" s="30"/>
    </row>
    <row r="146" spans="1:8" ht="15" customHeight="1" x14ac:dyDescent="0.2">
      <c r="A146" s="178"/>
      <c r="B146" s="181">
        <v>3</v>
      </c>
      <c r="C146" s="104" t="s">
        <v>747</v>
      </c>
      <c r="D146" s="179"/>
      <c r="E146" s="180"/>
      <c r="F146" s="29"/>
      <c r="G146" s="29"/>
      <c r="H146" s="30"/>
    </row>
    <row r="147" spans="1:8" ht="15" customHeight="1" x14ac:dyDescent="0.2">
      <c r="A147" s="182" t="s">
        <v>29</v>
      </c>
      <c r="B147" s="173">
        <v>1</v>
      </c>
      <c r="C147" s="174"/>
      <c r="D147" s="175"/>
      <c r="E147" s="176"/>
      <c r="F147" s="29"/>
      <c r="G147" s="29"/>
      <c r="H147" s="30"/>
    </row>
    <row r="148" spans="1:8" ht="15" customHeight="1" x14ac:dyDescent="0.2">
      <c r="A148" s="182"/>
      <c r="B148" s="173">
        <v>2</v>
      </c>
      <c r="C148" s="174"/>
      <c r="D148" s="175"/>
      <c r="E148" s="176"/>
      <c r="F148" s="29"/>
      <c r="G148" s="29"/>
      <c r="H148" s="30"/>
    </row>
    <row r="149" spans="1:8" ht="15" customHeight="1" x14ac:dyDescent="0.2">
      <c r="A149" s="182"/>
      <c r="B149" s="173">
        <v>4</v>
      </c>
      <c r="C149" s="174"/>
      <c r="D149" s="175"/>
      <c r="E149" s="176"/>
      <c r="F149" s="29"/>
      <c r="G149" s="29"/>
      <c r="H149" s="30"/>
    </row>
    <row r="150" spans="1:8" ht="15" customHeight="1" x14ac:dyDescent="0.2">
      <c r="A150" s="182"/>
      <c r="B150" s="173">
        <v>5</v>
      </c>
      <c r="C150" s="174"/>
      <c r="D150" s="175"/>
      <c r="E150" s="176"/>
      <c r="F150" s="29"/>
      <c r="G150" s="29"/>
      <c r="H150" s="30"/>
    </row>
    <row r="151" spans="1:8" ht="15" customHeight="1" x14ac:dyDescent="0.2">
      <c r="A151" s="183"/>
      <c r="B151" s="173">
        <v>6</v>
      </c>
      <c r="C151" s="174"/>
      <c r="D151" s="175"/>
      <c r="E151" s="176"/>
      <c r="F151" s="29"/>
      <c r="G151" s="29"/>
      <c r="H151" s="30"/>
    </row>
    <row r="152" spans="1:8" ht="15" customHeight="1" x14ac:dyDescent="0.2">
      <c r="A152" s="183"/>
      <c r="B152" s="173">
        <v>7</v>
      </c>
      <c r="C152" s="174"/>
      <c r="D152" s="175"/>
      <c r="E152" s="176"/>
      <c r="F152" s="29"/>
      <c r="G152" s="29"/>
      <c r="H152" s="30"/>
    </row>
    <row r="153" spans="1:8" ht="15" customHeight="1" x14ac:dyDescent="0.2">
      <c r="A153" s="178"/>
      <c r="B153" s="181">
        <v>8</v>
      </c>
      <c r="C153" s="104"/>
      <c r="D153" s="179"/>
      <c r="E153" s="180"/>
      <c r="F153" s="29"/>
      <c r="G153" s="29"/>
      <c r="H153" s="30"/>
    </row>
    <row r="154" spans="1:8" ht="15" customHeight="1" x14ac:dyDescent="0.2">
      <c r="A154" s="240"/>
      <c r="B154" s="235"/>
      <c r="C154" s="235"/>
      <c r="D154" s="235"/>
      <c r="E154" s="235"/>
      <c r="F154" s="235"/>
      <c r="G154" s="235"/>
      <c r="H154" s="32"/>
    </row>
  </sheetData>
  <customSheetViews>
    <customSheetView guid="{15489521-78C1-4B59-8BC9-AACD7EBC6362}"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53E8D147-A870-4F3F-BF63-24587CEF7636}"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7608A575-AD39-4DFE-B654-965E0A886A86}" scale="75" showPageBreaks="1" printArea="1" showRuler="0">
      <pane ySplit="1" topLeftCell="A2" activePane="bottomLeft" state="frozen"/>
      <selection pane="bottomLeft" activeCell="E5" sqref="E5"/>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3">
    <mergeCell ref="C91:E91"/>
    <mergeCell ref="A19:D19"/>
    <mergeCell ref="A20:D20"/>
  </mergeCells>
  <phoneticPr fontId="8" type="noConversion"/>
  <dataValidations disablePrompts="1" xWindow="734" yWindow="271" count="1">
    <dataValidation type="list" showInputMessage="1" showErrorMessage="1" sqref="E40">
      <formula1>YesNo</formula1>
    </dataValidation>
  </dataValidations>
  <printOptions headings="1"/>
  <pageMargins left="0.78740157480314965" right="0.78740157480314965" top="0.98425196850393704" bottom="0.98425196850393704" header="0.51181102362204722" footer="0.51181102362204722"/>
  <pageSetup paperSize="9" scale="55"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68"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25</vt:i4>
      </vt:variant>
    </vt:vector>
  </HeadingPairs>
  <TitlesOfParts>
    <vt:vector size="34" baseType="lpstr">
      <vt:lpstr>General Info</vt:lpstr>
      <vt:lpstr>DefCapB3</vt:lpstr>
      <vt:lpstr>DefCapB3-MI</vt:lpstr>
      <vt:lpstr>Leverage Ratio</vt:lpstr>
      <vt:lpstr>LCR</vt:lpstr>
      <vt:lpstr>NSFR</vt:lpstr>
      <vt:lpstr>Partial use</vt:lpstr>
      <vt:lpstr>Checks</vt:lpstr>
      <vt:lpstr>Parameters</vt:lpstr>
      <vt:lpstr>Accounting</vt:lpstr>
      <vt:lpstr>BankType</vt:lpstr>
      <vt:lpstr>BankTypeNumeric</vt:lpstr>
      <vt:lpstr>Checks!Basel12</vt:lpstr>
      <vt:lpstr>Basel12</vt:lpstr>
      <vt:lpstr>CCROTC</vt:lpstr>
      <vt:lpstr>CCRSFT</vt:lpstr>
      <vt:lpstr>Group</vt:lpstr>
      <vt:lpstr>Checks!OpRisk</vt:lpstr>
      <vt:lpstr>OpRisk</vt:lpstr>
      <vt:lpstr>Checks!Print_Area</vt:lpstr>
      <vt:lpstr>DefCapB3!Print_Area</vt:lpstr>
      <vt:lpstr>'DefCapB3-MI'!Print_Area</vt:lpstr>
      <vt:lpstr>'General Info'!Print_Area</vt:lpstr>
      <vt:lpstr>LCR!Print_Area</vt:lpstr>
      <vt:lpstr>'Leverage Ratio'!Print_Area</vt:lpstr>
      <vt:lpstr>NSFR!Print_Area</vt:lpstr>
      <vt:lpstr>Parameters!Print_Area</vt:lpstr>
      <vt:lpstr>'Partial use'!Print_Area</vt:lpstr>
      <vt:lpstr>Checks!Print_Titles</vt:lpstr>
      <vt:lpstr>'General Info'!Print_Titles</vt:lpstr>
      <vt:lpstr>Parameters!Print_Titles</vt:lpstr>
      <vt:lpstr>'Partial use'!Print_Titles</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Rumas, Brian</dc:creator>
  <cp:lastModifiedBy>Birn, Martin</cp:lastModifiedBy>
  <cp:lastPrinted>2013-07-30T17:46:30Z</cp:lastPrinted>
  <dcterms:created xsi:type="dcterms:W3CDTF">2004-05-06T15:11:03Z</dcterms:created>
  <dcterms:modified xsi:type="dcterms:W3CDTF">2013-09-13T12:00:19Z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